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454"/>
  </bookViews>
  <sheets>
    <sheet name="Лист1" sheetId="1" r:id="rId1"/>
    <sheet name="Лист2" sheetId="2" r:id="rId2"/>
  </sheets>
  <definedNames>
    <definedName name="_xlnm._FilterDatabase" localSheetId="0" hidden="1">Лист1!$A$6:$M$358</definedName>
    <definedName name="_xlnm.Print_Titles" localSheetId="0">Лист1!$7:$7</definedName>
    <definedName name="_xlnm.Print_Area" localSheetId="0">Лист1!$C$1:$M$402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K333" i="1"/>
  <c r="M333" i="1"/>
  <c r="L333" i="1"/>
  <c r="K19" i="1"/>
  <c r="K24" i="1"/>
  <c r="K21" i="1"/>
  <c r="K20" i="1"/>
  <c r="K18" i="1"/>
  <c r="K346" i="1"/>
  <c r="K11" i="1"/>
  <c r="K10" i="1" s="1"/>
  <c r="K202" i="1"/>
  <c r="K189" i="1"/>
  <c r="M311" i="1"/>
  <c r="L311" i="1"/>
  <c r="K123" i="1"/>
  <c r="M202" i="1"/>
  <c r="L202" i="1"/>
  <c r="M169" i="1"/>
  <c r="L169" i="1"/>
  <c r="M255" i="1"/>
  <c r="L255" i="1"/>
  <c r="M266" i="1"/>
  <c r="L266" i="1"/>
  <c r="K222" i="1"/>
  <c r="M32" i="1"/>
  <c r="L32" i="1"/>
  <c r="K229" i="1"/>
  <c r="M329" i="1"/>
  <c r="L329" i="1"/>
  <c r="M74" i="1"/>
  <c r="L74" i="1"/>
  <c r="J74" i="1" s="1"/>
  <c r="A74" i="1" s="1"/>
  <c r="M336" i="1" l="1"/>
  <c r="L336" i="1"/>
  <c r="M289" i="1"/>
  <c r="L289" i="1"/>
  <c r="K289" i="1"/>
  <c r="K226" i="1"/>
  <c r="J62" i="1"/>
  <c r="A62" i="1" s="1"/>
  <c r="M340" i="1"/>
  <c r="L340" i="1"/>
  <c r="K340" i="1"/>
  <c r="J311" i="1" l="1"/>
  <c r="A311" i="1" s="1"/>
  <c r="M309" i="1"/>
  <c r="L309" i="1"/>
  <c r="M229" i="1"/>
  <c r="L229" i="1"/>
  <c r="K259" i="1"/>
  <c r="M72" i="1"/>
  <c r="L72" i="1"/>
  <c r="K29" i="1"/>
  <c r="J66" i="1"/>
  <c r="A66" i="1" s="1"/>
  <c r="J73" i="1"/>
  <c r="A73" i="1" s="1"/>
  <c r="M71" i="1"/>
  <c r="L71" i="1"/>
  <c r="J72" i="1" l="1"/>
  <c r="A72" i="1" s="1"/>
  <c r="L21" i="1"/>
  <c r="J119" i="1" l="1"/>
  <c r="J120" i="1"/>
  <c r="K195" i="1"/>
  <c r="L122" i="1" l="1"/>
  <c r="M29" i="1"/>
  <c r="L29" i="1"/>
  <c r="K187" i="1"/>
  <c r="K245" i="1"/>
  <c r="J64" i="1" l="1"/>
  <c r="A64" i="1" s="1"/>
  <c r="K237" i="1"/>
  <c r="K233" i="1" l="1"/>
  <c r="M63" i="1"/>
  <c r="M61" i="1" s="1"/>
  <c r="L63" i="1"/>
  <c r="L61" i="1" s="1"/>
  <c r="L409" i="1"/>
  <c r="J196" i="1" l="1"/>
  <c r="J195" i="1"/>
  <c r="M335" i="1" l="1"/>
  <c r="L335" i="1"/>
  <c r="M342" i="1"/>
  <c r="L342" i="1"/>
  <c r="K246" i="1"/>
  <c r="L161" i="1" l="1"/>
  <c r="K183" i="1"/>
  <c r="M85" i="1"/>
  <c r="L85" i="1"/>
  <c r="K104" i="1"/>
  <c r="K99" i="1" s="1"/>
  <c r="A357" i="1" l="1"/>
  <c r="J346" i="1"/>
  <c r="A346" i="1" s="1"/>
  <c r="M344" i="1"/>
  <c r="L344" i="1"/>
  <c r="K344" i="1"/>
  <c r="J345" i="1"/>
  <c r="A345" i="1" s="1"/>
  <c r="J344" i="1" l="1"/>
  <c r="A344" i="1" s="1"/>
  <c r="M409" i="1" l="1"/>
  <c r="K409" i="1"/>
  <c r="J449" i="1"/>
  <c r="J448" i="1"/>
  <c r="J447" i="1"/>
  <c r="J446" i="1"/>
  <c r="J445" i="1" l="1"/>
  <c r="J183" i="1" l="1"/>
  <c r="A183" i="1" s="1"/>
  <c r="M182" i="1"/>
  <c r="M181" i="1" s="1"/>
  <c r="M180" i="1" s="1"/>
  <c r="L182" i="1"/>
  <c r="L181" i="1" s="1"/>
  <c r="L180" i="1" s="1"/>
  <c r="K182" i="1"/>
  <c r="K181" i="1" s="1"/>
  <c r="J444" i="1"/>
  <c r="J182" i="1" l="1"/>
  <c r="A182" i="1" s="1"/>
  <c r="J181" i="1"/>
  <c r="A181" i="1" s="1"/>
  <c r="K180" i="1"/>
  <c r="J180" i="1" s="1"/>
  <c r="A180" i="1" s="1"/>
  <c r="J169" i="1" l="1"/>
  <c r="A169" i="1" s="1"/>
  <c r="M168" i="1"/>
  <c r="M167" i="1" s="1"/>
  <c r="M166" i="1" s="1"/>
  <c r="L168" i="1"/>
  <c r="L167" i="1" s="1"/>
  <c r="L166" i="1" s="1"/>
  <c r="K168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s="1"/>
  <c r="B13" i="2" s="1"/>
  <c r="J167" i="1" l="1"/>
  <c r="A167" i="1" s="1"/>
  <c r="K166" i="1"/>
  <c r="J166" i="1" s="1"/>
  <c r="A166" i="1" s="1"/>
  <c r="C2" i="2"/>
  <c r="C11" i="2" s="1"/>
  <c r="C13" i="2" s="1"/>
  <c r="A11" i="2"/>
  <c r="A13" i="2" s="1"/>
  <c r="M295" i="1" l="1"/>
  <c r="L295" i="1"/>
  <c r="M225" i="1" l="1"/>
  <c r="L225" i="1"/>
  <c r="M343" i="1" l="1"/>
  <c r="L343" i="1"/>
  <c r="K343" i="1"/>
  <c r="J343" i="1" l="1"/>
  <c r="A343" i="1" s="1"/>
  <c r="K28" i="1" l="1"/>
  <c r="K27" i="1" s="1"/>
  <c r="J63" i="1" l="1"/>
  <c r="A63" i="1" s="1"/>
  <c r="K61" i="1" l="1"/>
  <c r="K60" i="1" s="1"/>
  <c r="M60" i="1"/>
  <c r="L60" i="1"/>
  <c r="J65" i="1"/>
  <c r="A65" i="1" s="1"/>
  <c r="M75" i="1"/>
  <c r="M68" i="1" s="1"/>
  <c r="L75" i="1"/>
  <c r="L68" i="1" s="1"/>
  <c r="M318" i="1"/>
  <c r="L318" i="1"/>
  <c r="K225" i="1"/>
  <c r="J61" i="1" l="1"/>
  <c r="A61" i="1" s="1"/>
  <c r="J60" i="1"/>
  <c r="A60" i="1" s="1"/>
  <c r="M28" i="1"/>
  <c r="M27" i="1" s="1"/>
  <c r="L28" i="1"/>
  <c r="J33" i="1"/>
  <c r="J34" i="1"/>
  <c r="A34" i="1" s="1"/>
  <c r="J229" i="1" l="1"/>
  <c r="J260" i="1" l="1"/>
  <c r="A260" i="1" s="1"/>
  <c r="J261" i="1"/>
  <c r="M258" i="1"/>
  <c r="L258" i="1"/>
  <c r="K258" i="1"/>
  <c r="J25" i="1" l="1"/>
  <c r="J19" i="1"/>
  <c r="J20" i="1"/>
  <c r="J22" i="1"/>
  <c r="J23" i="1"/>
  <c r="J24" i="1"/>
  <c r="J443" i="1" l="1"/>
  <c r="J436" i="1" l="1"/>
  <c r="J435" i="1"/>
  <c r="J434" i="1"/>
  <c r="J433" i="1"/>
  <c r="J432" i="1"/>
  <c r="J431" i="1"/>
  <c r="J430" i="1"/>
  <c r="J429" i="1"/>
  <c r="L292" i="1"/>
  <c r="J297" i="1" l="1"/>
  <c r="A297" i="1" s="1"/>
  <c r="J228" i="1"/>
  <c r="A228" i="1" s="1"/>
  <c r="J341" i="1" l="1"/>
  <c r="A341" i="1" s="1"/>
  <c r="J225" i="1" l="1"/>
  <c r="J233" i="1"/>
  <c r="A233" i="1" s="1"/>
  <c r="M232" i="1"/>
  <c r="L232" i="1"/>
  <c r="K232" i="1"/>
  <c r="M231" i="1"/>
  <c r="L231" i="1"/>
  <c r="K231" i="1"/>
  <c r="J231" i="1" l="1"/>
  <c r="A231" i="1" s="1"/>
  <c r="J232" i="1"/>
  <c r="A232" i="1" s="1"/>
  <c r="M151" i="1"/>
  <c r="L151" i="1"/>
  <c r="K151" i="1"/>
  <c r="J152" i="1" l="1"/>
  <c r="A152" i="1" s="1"/>
  <c r="J428" i="1" l="1"/>
  <c r="J427" i="1"/>
  <c r="J426" i="1"/>
  <c r="J70" i="1"/>
  <c r="A70" i="1" s="1"/>
  <c r="J335" i="1"/>
  <c r="A335" i="1" s="1"/>
  <c r="J117" i="1"/>
  <c r="K338" i="1"/>
  <c r="K68" i="1" l="1"/>
  <c r="K67" i="1" l="1"/>
  <c r="J71" i="1"/>
  <c r="A71" i="1" s="1"/>
  <c r="J351" i="1"/>
  <c r="A351" i="1" s="1"/>
  <c r="J350" i="1"/>
  <c r="A350" i="1" s="1"/>
  <c r="M349" i="1"/>
  <c r="M348" i="1" s="1"/>
  <c r="L349" i="1"/>
  <c r="L348" i="1" s="1"/>
  <c r="K349" i="1"/>
  <c r="K348" i="1" s="1"/>
  <c r="J342" i="1"/>
  <c r="A342" i="1" s="1"/>
  <c r="J340" i="1"/>
  <c r="A340" i="1" s="1"/>
  <c r="M339" i="1"/>
  <c r="L339" i="1"/>
  <c r="J338" i="1"/>
  <c r="A338" i="1" s="1"/>
  <c r="J337" i="1"/>
  <c r="A337" i="1" s="1"/>
  <c r="J336" i="1"/>
  <c r="A336" i="1" s="1"/>
  <c r="J334" i="1"/>
  <c r="A334" i="1" s="1"/>
  <c r="J333" i="1"/>
  <c r="A333" i="1" s="1"/>
  <c r="M332" i="1"/>
  <c r="L332" i="1"/>
  <c r="J332" i="1" s="1"/>
  <c r="A332" i="1" s="1"/>
  <c r="J331" i="1"/>
  <c r="A331" i="1" s="1"/>
  <c r="J330" i="1"/>
  <c r="A330" i="1" s="1"/>
  <c r="J329" i="1"/>
  <c r="A329" i="1" s="1"/>
  <c r="J328" i="1"/>
  <c r="A328" i="1" s="1"/>
  <c r="J327" i="1"/>
  <c r="A327" i="1" s="1"/>
  <c r="J326" i="1"/>
  <c r="A326" i="1" s="1"/>
  <c r="K325" i="1"/>
  <c r="J324" i="1"/>
  <c r="A324" i="1" s="1"/>
  <c r="K323" i="1"/>
  <c r="J323" i="1" s="1"/>
  <c r="A323" i="1" s="1"/>
  <c r="M322" i="1"/>
  <c r="L322" i="1"/>
  <c r="J321" i="1"/>
  <c r="A321" i="1" s="1"/>
  <c r="J320" i="1"/>
  <c r="A320" i="1" s="1"/>
  <c r="J319" i="1"/>
  <c r="A319" i="1" s="1"/>
  <c r="K318" i="1"/>
  <c r="J317" i="1"/>
  <c r="A317" i="1" s="1"/>
  <c r="J316" i="1"/>
  <c r="A316" i="1" s="1"/>
  <c r="J313" i="1"/>
  <c r="A313" i="1" s="1"/>
  <c r="J312" i="1"/>
  <c r="A312" i="1" s="1"/>
  <c r="J310" i="1"/>
  <c r="A310" i="1" s="1"/>
  <c r="J309" i="1"/>
  <c r="A309" i="1" s="1"/>
  <c r="J308" i="1"/>
  <c r="A308" i="1" s="1"/>
  <c r="J307" i="1"/>
  <c r="A307" i="1" s="1"/>
  <c r="L305" i="1"/>
  <c r="L304" i="1" s="1"/>
  <c r="M305" i="1"/>
  <c r="M304" i="1" s="1"/>
  <c r="J303" i="1"/>
  <c r="A303" i="1" s="1"/>
  <c r="J302" i="1"/>
  <c r="A302" i="1" s="1"/>
  <c r="M301" i="1"/>
  <c r="M300" i="1" s="1"/>
  <c r="L301" i="1"/>
  <c r="L300" i="1" s="1"/>
  <c r="K301" i="1"/>
  <c r="K300" i="1" s="1"/>
  <c r="J299" i="1"/>
  <c r="A299" i="1" s="1"/>
  <c r="J298" i="1"/>
  <c r="A298" i="1" s="1"/>
  <c r="J296" i="1"/>
  <c r="A296" i="1" s="1"/>
  <c r="J295" i="1"/>
  <c r="A295" i="1" s="1"/>
  <c r="J294" i="1"/>
  <c r="A294" i="1" s="1"/>
  <c r="J293" i="1"/>
  <c r="A293" i="1" s="1"/>
  <c r="M292" i="1"/>
  <c r="M291" i="1" s="1"/>
  <c r="L291" i="1"/>
  <c r="K292" i="1"/>
  <c r="K291" i="1" s="1"/>
  <c r="J290" i="1"/>
  <c r="A290" i="1" s="1"/>
  <c r="J289" i="1"/>
  <c r="A289" i="1" s="1"/>
  <c r="J288" i="1"/>
  <c r="A288" i="1" s="1"/>
  <c r="J287" i="1"/>
  <c r="A287" i="1" s="1"/>
  <c r="J286" i="1"/>
  <c r="A286" i="1" s="1"/>
  <c r="J285" i="1"/>
  <c r="A285" i="1" s="1"/>
  <c r="J284" i="1"/>
  <c r="A284" i="1" s="1"/>
  <c r="J283" i="1"/>
  <c r="A283" i="1" s="1"/>
  <c r="M282" i="1"/>
  <c r="L282" i="1"/>
  <c r="J281" i="1"/>
  <c r="A281" i="1" s="1"/>
  <c r="J280" i="1"/>
  <c r="A280" i="1" s="1"/>
  <c r="J279" i="1"/>
  <c r="A279" i="1" s="1"/>
  <c r="M278" i="1"/>
  <c r="L278" i="1"/>
  <c r="K278" i="1"/>
  <c r="K265" i="1" s="1"/>
  <c r="K264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8" i="1"/>
  <c r="A268" i="1" s="1"/>
  <c r="J267" i="1"/>
  <c r="A267" i="1" s="1"/>
  <c r="J266" i="1"/>
  <c r="A266" i="1" s="1"/>
  <c r="J262" i="1"/>
  <c r="A262" i="1" s="1"/>
  <c r="A261" i="1"/>
  <c r="J259" i="1"/>
  <c r="A259" i="1" s="1"/>
  <c r="M257" i="1"/>
  <c r="M256" i="1" s="1"/>
  <c r="L257" i="1"/>
  <c r="L256" i="1" s="1"/>
  <c r="K257" i="1"/>
  <c r="M254" i="1"/>
  <c r="M253" i="1" s="1"/>
  <c r="M252" i="1" s="1"/>
  <c r="J255" i="1"/>
  <c r="A255" i="1" s="1"/>
  <c r="L254" i="1"/>
  <c r="L253" i="1" s="1"/>
  <c r="L252" i="1" s="1"/>
  <c r="K254" i="1"/>
  <c r="K253" i="1" s="1"/>
  <c r="K252" i="1" s="1"/>
  <c r="J251" i="1"/>
  <c r="A251" i="1" s="1"/>
  <c r="M250" i="1"/>
  <c r="M249" i="1" s="1"/>
  <c r="M248" i="1" s="1"/>
  <c r="L250" i="1"/>
  <c r="L249" i="1" s="1"/>
  <c r="L248" i="1" s="1"/>
  <c r="K250" i="1"/>
  <c r="K249" i="1" s="1"/>
  <c r="J247" i="1"/>
  <c r="A247" i="1" s="1"/>
  <c r="J246" i="1"/>
  <c r="A246" i="1" s="1"/>
  <c r="M245" i="1"/>
  <c r="M244" i="1" s="1"/>
  <c r="M243" i="1" s="1"/>
  <c r="M242" i="1" s="1"/>
  <c r="L245" i="1"/>
  <c r="J245" i="1" s="1"/>
  <c r="A245" i="1" s="1"/>
  <c r="K244" i="1"/>
  <c r="J241" i="1"/>
  <c r="A241" i="1" s="1"/>
  <c r="M240" i="1"/>
  <c r="M239" i="1" s="1"/>
  <c r="M238" i="1" s="1"/>
  <c r="L240" i="1"/>
  <c r="L239" i="1" s="1"/>
  <c r="L238" i="1" s="1"/>
  <c r="K240" i="1"/>
  <c r="K239" i="1" s="1"/>
  <c r="J237" i="1"/>
  <c r="A237" i="1" s="1"/>
  <c r="M236" i="1"/>
  <c r="L236" i="1"/>
  <c r="K236" i="1"/>
  <c r="M235" i="1"/>
  <c r="M234" i="1" s="1"/>
  <c r="L235" i="1"/>
  <c r="L234" i="1" s="1"/>
  <c r="K235" i="1"/>
  <c r="K234" i="1" s="1"/>
  <c r="M230" i="1"/>
  <c r="L230" i="1"/>
  <c r="M224" i="1"/>
  <c r="M223" i="1" s="1"/>
  <c r="J227" i="1"/>
  <c r="A227" i="1" s="1"/>
  <c r="J226" i="1"/>
  <c r="A226" i="1" s="1"/>
  <c r="L224" i="1"/>
  <c r="L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K186" i="1" s="1"/>
  <c r="A196" i="1"/>
  <c r="A195" i="1"/>
  <c r="J194" i="1"/>
  <c r="A194" i="1" s="1"/>
  <c r="L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60" i="1"/>
  <c r="L160" i="1"/>
  <c r="K160" i="1"/>
  <c r="M159" i="1"/>
  <c r="M158" i="1" s="1"/>
  <c r="L159" i="1"/>
  <c r="L158" i="1" s="1"/>
  <c r="K159" i="1"/>
  <c r="J157" i="1"/>
  <c r="A157" i="1" s="1"/>
  <c r="M156" i="1"/>
  <c r="M155" i="1" s="1"/>
  <c r="M154" i="1" s="1"/>
  <c r="L156" i="1"/>
  <c r="L155" i="1" s="1"/>
  <c r="L154" i="1" s="1"/>
  <c r="K156" i="1"/>
  <c r="J153" i="1"/>
  <c r="A153" i="1" s="1"/>
  <c r="M150" i="1"/>
  <c r="M149" i="1" s="1"/>
  <c r="L150" i="1"/>
  <c r="L149" i="1" s="1"/>
  <c r="K150" i="1"/>
  <c r="M148" i="1"/>
  <c r="M146" i="1" s="1"/>
  <c r="M145" i="1" s="1"/>
  <c r="L148" i="1"/>
  <c r="J148" i="1" s="1"/>
  <c r="A148" i="1" s="1"/>
  <c r="K147" i="1"/>
  <c r="M144" i="1"/>
  <c r="M142" i="1" s="1"/>
  <c r="M141" i="1" s="1"/>
  <c r="L144" i="1"/>
  <c r="L142" i="1" s="1"/>
  <c r="L141" i="1" s="1"/>
  <c r="K144" i="1"/>
  <c r="K142" i="1" s="1"/>
  <c r="K141" i="1" s="1"/>
  <c r="J143" i="1"/>
  <c r="A143" i="1" s="1"/>
  <c r="C143" i="1"/>
  <c r="J140" i="1"/>
  <c r="A140" i="1" s="1"/>
  <c r="M139" i="1"/>
  <c r="M137" i="1" s="1"/>
  <c r="M136" i="1" s="1"/>
  <c r="L139" i="1"/>
  <c r="L137" i="1" s="1"/>
  <c r="K139" i="1"/>
  <c r="K138" i="1"/>
  <c r="J138" i="1" s="1"/>
  <c r="A138" i="1" s="1"/>
  <c r="A135" i="1"/>
  <c r="J134" i="1"/>
  <c r="A134" i="1" s="1"/>
  <c r="J133" i="1"/>
  <c r="A133" i="1" s="1"/>
  <c r="M132" i="1"/>
  <c r="M131" i="1" s="1"/>
  <c r="L132" i="1"/>
  <c r="L131" i="1" s="1"/>
  <c r="K132" i="1"/>
  <c r="M129" i="1"/>
  <c r="L129" i="1"/>
  <c r="J129" i="1" s="1"/>
  <c r="A129" i="1" s="1"/>
  <c r="J128" i="1"/>
  <c r="A128" i="1" s="1"/>
  <c r="J127" i="1"/>
  <c r="A127" i="1" s="1"/>
  <c r="J126" i="1"/>
  <c r="A126" i="1" s="1"/>
  <c r="M125" i="1"/>
  <c r="L125" i="1"/>
  <c r="J124" i="1"/>
  <c r="A124" i="1" s="1"/>
  <c r="J122" i="1"/>
  <c r="A122" i="1" s="1"/>
  <c r="J121" i="1"/>
  <c r="A121" i="1" s="1"/>
  <c r="A120" i="1"/>
  <c r="A119" i="1"/>
  <c r="J118" i="1"/>
  <c r="A118" i="1" s="1"/>
  <c r="A117" i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6" i="1"/>
  <c r="A96" i="1" s="1"/>
  <c r="J95" i="1"/>
  <c r="A95" i="1" s="1"/>
  <c r="J94" i="1"/>
  <c r="A94" i="1" s="1"/>
  <c r="K93" i="1"/>
  <c r="J93" i="1" s="1"/>
  <c r="A93" i="1" s="1"/>
  <c r="J92" i="1"/>
  <c r="A92" i="1" s="1"/>
  <c r="M91" i="1"/>
  <c r="M90" i="1" s="1"/>
  <c r="M89" i="1" s="1"/>
  <c r="L91" i="1"/>
  <c r="L90" i="1" s="1"/>
  <c r="L89" i="1" s="1"/>
  <c r="J88" i="1"/>
  <c r="A88" i="1" s="1"/>
  <c r="J87" i="1"/>
  <c r="A87" i="1" s="1"/>
  <c r="M86" i="1"/>
  <c r="L86" i="1"/>
  <c r="K86" i="1"/>
  <c r="J84" i="1"/>
  <c r="A84" i="1" s="1"/>
  <c r="J83" i="1"/>
  <c r="A83" i="1" s="1"/>
  <c r="J82" i="1"/>
  <c r="A82" i="1" s="1"/>
  <c r="J81" i="1"/>
  <c r="A81" i="1" s="1"/>
  <c r="J80" i="1"/>
  <c r="A80" i="1" s="1"/>
  <c r="J79" i="1"/>
  <c r="A79" i="1" s="1"/>
  <c r="M78" i="1"/>
  <c r="M77" i="1" s="1"/>
  <c r="M76" i="1" s="1"/>
  <c r="L78" i="1"/>
  <c r="L77" i="1" s="1"/>
  <c r="L76" i="1" s="1"/>
  <c r="K78" i="1"/>
  <c r="K77" i="1" s="1"/>
  <c r="J75" i="1"/>
  <c r="A75" i="1" s="1"/>
  <c r="J69" i="1"/>
  <c r="A69" i="1" s="1"/>
  <c r="M67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99" i="1" l="1"/>
  <c r="L98" i="1" s="1"/>
  <c r="L97" i="1" s="1"/>
  <c r="M99" i="1"/>
  <c r="M98" i="1" s="1"/>
  <c r="M97" i="1" s="1"/>
  <c r="K315" i="1"/>
  <c r="J322" i="1"/>
  <c r="A322" i="1" s="1"/>
  <c r="L315" i="1"/>
  <c r="L314" i="1" s="1"/>
  <c r="K98" i="1"/>
  <c r="M56" i="1"/>
  <c r="J339" i="1"/>
  <c r="A339" i="1" s="1"/>
  <c r="J123" i="1"/>
  <c r="A123" i="1" s="1"/>
  <c r="J144" i="1"/>
  <c r="A144" i="1" s="1"/>
  <c r="K175" i="1"/>
  <c r="K174" i="1" s="1"/>
  <c r="J174" i="1" s="1"/>
  <c r="A174" i="1" s="1"/>
  <c r="J139" i="1"/>
  <c r="A139" i="1" s="1"/>
  <c r="L244" i="1"/>
  <c r="L243" i="1" s="1"/>
  <c r="L242" i="1" s="1"/>
  <c r="M315" i="1"/>
  <c r="M314" i="1" s="1"/>
  <c r="L16" i="1"/>
  <c r="L15" i="1" s="1"/>
  <c r="J15" i="1" s="1"/>
  <c r="A15" i="1" s="1"/>
  <c r="J21" i="1"/>
  <c r="A21" i="1" s="1"/>
  <c r="K137" i="1"/>
  <c r="K136" i="1" s="1"/>
  <c r="L146" i="1"/>
  <c r="L145" i="1" s="1"/>
  <c r="K49" i="1"/>
  <c r="K48" i="1" s="1"/>
  <c r="K47" i="1" s="1"/>
  <c r="J47" i="1" s="1"/>
  <c r="A47" i="1" s="1"/>
  <c r="K91" i="1"/>
  <c r="K90" i="1" s="1"/>
  <c r="K89" i="1" s="1"/>
  <c r="J89" i="1" s="1"/>
  <c r="A89" i="1" s="1"/>
  <c r="J318" i="1"/>
  <c r="A318" i="1" s="1"/>
  <c r="J125" i="1"/>
  <c r="A125" i="1" s="1"/>
  <c r="J325" i="1"/>
  <c r="A325" i="1" s="1"/>
  <c r="M130" i="1"/>
  <c r="J252" i="1"/>
  <c r="A252" i="1" s="1"/>
  <c r="J86" i="1"/>
  <c r="A86" i="1" s="1"/>
  <c r="J211" i="1"/>
  <c r="A211" i="1" s="1"/>
  <c r="J236" i="1"/>
  <c r="A236" i="1" s="1"/>
  <c r="M265" i="1"/>
  <c r="M264" i="1" s="1"/>
  <c r="J212" i="1"/>
  <c r="A212" i="1" s="1"/>
  <c r="J132" i="1"/>
  <c r="A132" i="1" s="1"/>
  <c r="J163" i="1"/>
  <c r="A163" i="1" s="1"/>
  <c r="J172" i="1"/>
  <c r="A172" i="1" s="1"/>
  <c r="L136" i="1"/>
  <c r="J151" i="1"/>
  <c r="A151" i="1" s="1"/>
  <c r="J160" i="1"/>
  <c r="A160" i="1" s="1"/>
  <c r="L186" i="1"/>
  <c r="L185" i="1" s="1"/>
  <c r="L184" i="1" s="1"/>
  <c r="J197" i="1"/>
  <c r="A197" i="1" s="1"/>
  <c r="J301" i="1"/>
  <c r="A301" i="1" s="1"/>
  <c r="J193" i="1"/>
  <c r="A193" i="1" s="1"/>
  <c r="J254" i="1"/>
  <c r="A254" i="1" s="1"/>
  <c r="J291" i="1"/>
  <c r="A291" i="1" s="1"/>
  <c r="M8" i="1"/>
  <c r="J164" i="1"/>
  <c r="A164" i="1" s="1"/>
  <c r="J220" i="1"/>
  <c r="A220" i="1" s="1"/>
  <c r="K230" i="1"/>
  <c r="J230" i="1" s="1"/>
  <c r="A230" i="1" s="1"/>
  <c r="J240" i="1"/>
  <c r="A240" i="1" s="1"/>
  <c r="K131" i="1"/>
  <c r="J131" i="1" s="1"/>
  <c r="A131" i="1" s="1"/>
  <c r="J208" i="1"/>
  <c r="A208" i="1" s="1"/>
  <c r="A225" i="1"/>
  <c r="J278" i="1"/>
  <c r="A278" i="1" s="1"/>
  <c r="J141" i="1"/>
  <c r="A141" i="1" s="1"/>
  <c r="K162" i="1"/>
  <c r="J162" i="1" s="1"/>
  <c r="A162" i="1" s="1"/>
  <c r="J209" i="1"/>
  <c r="A209" i="1" s="1"/>
  <c r="J300" i="1"/>
  <c r="A300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A36" i="1" s="1"/>
  <c r="K35" i="1"/>
  <c r="J35" i="1" s="1"/>
  <c r="A35" i="1" s="1"/>
  <c r="J77" i="1"/>
  <c r="A77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8" i="1"/>
  <c r="J147" i="1"/>
  <c r="A147" i="1" s="1"/>
  <c r="K146" i="1"/>
  <c r="J156" i="1"/>
  <c r="A156" i="1" s="1"/>
  <c r="K155" i="1"/>
  <c r="J159" i="1"/>
  <c r="A159" i="1" s="1"/>
  <c r="K158" i="1"/>
  <c r="J158" i="1" s="1"/>
  <c r="A158" i="1" s="1"/>
  <c r="M164" i="1"/>
  <c r="J10" i="1"/>
  <c r="A10" i="1" s="1"/>
  <c r="J37" i="1"/>
  <c r="A37" i="1" s="1"/>
  <c r="J45" i="1"/>
  <c r="A45" i="1" s="1"/>
  <c r="J78" i="1"/>
  <c r="A78" i="1" s="1"/>
  <c r="K85" i="1"/>
  <c r="J85" i="1" s="1"/>
  <c r="A85" i="1" s="1"/>
  <c r="J189" i="1"/>
  <c r="A189" i="1" s="1"/>
  <c r="J171" i="1"/>
  <c r="A171" i="1" s="1"/>
  <c r="K149" i="1"/>
  <c r="J149" i="1" s="1"/>
  <c r="A149" i="1" s="1"/>
  <c r="J150" i="1"/>
  <c r="A150" i="1" s="1"/>
  <c r="L170" i="1"/>
  <c r="M170" i="1"/>
  <c r="K215" i="1"/>
  <c r="L216" i="1"/>
  <c r="L215" i="1" s="1"/>
  <c r="L214" i="1" s="1"/>
  <c r="J235" i="1"/>
  <c r="A235" i="1" s="1"/>
  <c r="J250" i="1"/>
  <c r="A250" i="1" s="1"/>
  <c r="J253" i="1"/>
  <c r="A253" i="1" s="1"/>
  <c r="K224" i="1"/>
  <c r="K248" i="1"/>
  <c r="J248" i="1" s="1"/>
  <c r="A248" i="1" s="1"/>
  <c r="J249" i="1"/>
  <c r="A249" i="1" s="1"/>
  <c r="J258" i="1"/>
  <c r="A258" i="1" s="1"/>
  <c r="J282" i="1"/>
  <c r="A282" i="1" s="1"/>
  <c r="L265" i="1"/>
  <c r="L264" i="1" s="1"/>
  <c r="J306" i="1"/>
  <c r="A306" i="1" s="1"/>
  <c r="K305" i="1"/>
  <c r="J221" i="1"/>
  <c r="A221" i="1" s="1"/>
  <c r="A229" i="1"/>
  <c r="J239" i="1"/>
  <c r="A239" i="1" s="1"/>
  <c r="K238" i="1"/>
  <c r="J238" i="1" s="1"/>
  <c r="A238" i="1" s="1"/>
  <c r="K243" i="1"/>
  <c r="K256" i="1"/>
  <c r="J256" i="1" s="1"/>
  <c r="A256" i="1" s="1"/>
  <c r="J257" i="1"/>
  <c r="A257" i="1" s="1"/>
  <c r="J292" i="1"/>
  <c r="A292" i="1" s="1"/>
  <c r="J348" i="1"/>
  <c r="A348" i="1" s="1"/>
  <c r="J219" i="1"/>
  <c r="A219" i="1" s="1"/>
  <c r="J234" i="1"/>
  <c r="A234" i="1" s="1"/>
  <c r="J349" i="1"/>
  <c r="A349" i="1" s="1"/>
  <c r="J99" i="1" l="1"/>
  <c r="A99" i="1" s="1"/>
  <c r="L263" i="1"/>
  <c r="K97" i="1"/>
  <c r="J97" i="1" s="1"/>
  <c r="A97" i="1" s="1"/>
  <c r="J98" i="1"/>
  <c r="A98" i="1" s="1"/>
  <c r="M263" i="1"/>
  <c r="M352" i="1" s="1"/>
  <c r="M406" i="1" s="1"/>
  <c r="J142" i="1"/>
  <c r="A142" i="1" s="1"/>
  <c r="K56" i="1"/>
  <c r="J244" i="1"/>
  <c r="A244" i="1" s="1"/>
  <c r="K170" i="1"/>
  <c r="J170" i="1" s="1"/>
  <c r="A170" i="1" s="1"/>
  <c r="J175" i="1"/>
  <c r="A175" i="1" s="1"/>
  <c r="J315" i="1"/>
  <c r="A315" i="1" s="1"/>
  <c r="K314" i="1"/>
  <c r="J314" i="1" s="1"/>
  <c r="A314" i="1" s="1"/>
  <c r="J16" i="1"/>
  <c r="A16" i="1" s="1"/>
  <c r="L8" i="1"/>
  <c r="J49" i="1"/>
  <c r="A49" i="1" s="1"/>
  <c r="L130" i="1"/>
  <c r="J91" i="1"/>
  <c r="A91" i="1" s="1"/>
  <c r="J137" i="1"/>
  <c r="A137" i="1" s="1"/>
  <c r="J90" i="1"/>
  <c r="A90" i="1" s="1"/>
  <c r="J136" i="1"/>
  <c r="A136" i="1" s="1"/>
  <c r="J48" i="1"/>
  <c r="A48" i="1" s="1"/>
  <c r="J216" i="1"/>
  <c r="A216" i="1" s="1"/>
  <c r="A68" i="1"/>
  <c r="L67" i="1"/>
  <c r="L56" i="1" s="1"/>
  <c r="J305" i="1"/>
  <c r="A305" i="1" s="1"/>
  <c r="K304" i="1"/>
  <c r="J264" i="1"/>
  <c r="A264" i="1" s="1"/>
  <c r="J215" i="1"/>
  <c r="A215" i="1" s="1"/>
  <c r="K214" i="1"/>
  <c r="J214" i="1" s="1"/>
  <c r="A214" i="1" s="1"/>
  <c r="L27" i="1"/>
  <c r="L26" i="1" s="1"/>
  <c r="J28" i="1"/>
  <c r="A28" i="1" s="1"/>
  <c r="K242" i="1"/>
  <c r="J242" i="1" s="1"/>
  <c r="A242" i="1" s="1"/>
  <c r="J243" i="1"/>
  <c r="A243" i="1" s="1"/>
  <c r="J265" i="1"/>
  <c r="A265" i="1" s="1"/>
  <c r="K223" i="1"/>
  <c r="J223" i="1" s="1"/>
  <c r="A223" i="1" s="1"/>
  <c r="J224" i="1"/>
  <c r="A224" i="1" s="1"/>
  <c r="K154" i="1"/>
  <c r="J154" i="1" s="1"/>
  <c r="A154" i="1" s="1"/>
  <c r="J155" i="1"/>
  <c r="A155" i="1" s="1"/>
  <c r="K76" i="1"/>
  <c r="J76" i="1" s="1"/>
  <c r="A76" i="1" s="1"/>
  <c r="K185" i="1"/>
  <c r="J186" i="1"/>
  <c r="A186" i="1" s="1"/>
  <c r="J146" i="1"/>
  <c r="A146" i="1" s="1"/>
  <c r="K145" i="1"/>
  <c r="K263" i="1" l="1"/>
  <c r="J263" i="1" s="1"/>
  <c r="A263" i="1" s="1"/>
  <c r="L352" i="1"/>
  <c r="L406" i="1" s="1"/>
  <c r="J8" i="1"/>
  <c r="A8" i="1" s="1"/>
  <c r="J304" i="1"/>
  <c r="A304" i="1" s="1"/>
  <c r="J56" i="1"/>
  <c r="A56" i="1" s="1"/>
  <c r="J67" i="1"/>
  <c r="A67" i="1" s="1"/>
  <c r="J145" i="1"/>
  <c r="A145" i="1" s="1"/>
  <c r="K130" i="1"/>
  <c r="J130" i="1" s="1"/>
  <c r="A130" i="1" s="1"/>
  <c r="J185" i="1"/>
  <c r="A185" i="1" s="1"/>
  <c r="K184" i="1"/>
  <c r="J184" i="1" s="1"/>
  <c r="A184" i="1" s="1"/>
  <c r="J27" i="1"/>
  <c r="A27" i="1" s="1"/>
  <c r="K352" i="1" l="1"/>
  <c r="K406" i="1" s="1"/>
  <c r="K408" i="1" s="1"/>
  <c r="J26" i="1"/>
  <c r="A26" i="1" s="1"/>
  <c r="J352" i="1" l="1"/>
  <c r="J406" i="1" s="1"/>
  <c r="J425" i="1"/>
  <c r="A352" i="1" l="1"/>
  <c r="J409" i="1"/>
  <c r="J408" i="1" s="1"/>
  <c r="J442" i="1" l="1"/>
  <c r="J441" i="1"/>
  <c r="J440" i="1"/>
  <c r="J439" i="1"/>
  <c r="J438" i="1"/>
  <c r="J437" i="1"/>
  <c r="H414" i="1"/>
  <c r="M365" i="1" l="1"/>
  <c r="K365" i="1"/>
  <c r="L365" i="1"/>
  <c r="J391" i="1"/>
  <c r="J390" i="1"/>
  <c r="J398" i="1"/>
  <c r="J366" i="1"/>
  <c r="J397" i="1"/>
  <c r="J396" i="1"/>
  <c r="J395" i="1"/>
  <c r="J394" i="1"/>
  <c r="J393" i="1"/>
  <c r="J392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5" i="1" l="1"/>
  <c r="L362" i="1" l="1"/>
  <c r="L364" i="1" s="1"/>
  <c r="H370" i="1"/>
  <c r="L408" i="1"/>
  <c r="M362" i="1"/>
  <c r="M364" i="1" s="1"/>
  <c r="M408" i="1"/>
  <c r="K362" i="1" l="1"/>
  <c r="K364" i="1" s="1"/>
  <c r="J362" i="1" l="1"/>
  <c r="J364" i="1" s="1"/>
</calcChain>
</file>

<file path=xl/comments1.xml><?xml version="1.0" encoding="utf-8"?>
<comments xmlns="http://schemas.openxmlformats.org/spreadsheetml/2006/main">
  <authors>
    <author>User</author>
  </authors>
  <commentList>
    <comment ref="K1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4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<sst xmlns="http://schemas.openxmlformats.org/spreadsheetml/2006/main" count="1156" uniqueCount="402">
  <si>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</si>
  <si>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</si>
  <si>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</si>
  <si>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</si>
  <si>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</si>
  <si>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</si>
  <si>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</si>
  <si>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</si>
  <si>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</si>
  <si>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</si>
  <si>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</si>
  <si>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</si>
  <si>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</si>
  <si>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</si>
  <si>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</si>
  <si>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</si>
  <si>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</si>
  <si>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</si>
  <si>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</si>
  <si>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</si>
  <si>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</si>
  <si>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</si>
  <si>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</si>
  <si>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</si>
  <si>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</si>
  <si>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</si>
  <si>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</si>
  <si>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</si>
  <si>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</si>
  <si>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</si>
  <si>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</si>
  <si>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</si>
  <si>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</si>
  <si>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</si>
  <si>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</si>
  <si>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</si>
  <si>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</si>
  <si>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</si>
  <si>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</si>
  <si>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</si>
  <si>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</si>
  <si>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</si>
  <si>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</si>
  <si>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</si>
  <si>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</si>
  <si>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</si>
  <si>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</si>
  <si>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</si>
  <si>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</si>
  <si>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</si>
  <si>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</si>
  <si>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</si>
  <si>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</si>
  <si>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</si>
  <si>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</si>
  <si>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</si>
  <si>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</si>
  <si>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</si>
  <si>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</si>
  <si>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</si>
  <si>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</si>
  <si>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</si>
  <si>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</si>
  <si>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</si>
  <si>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</si>
  <si>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</si>
  <si>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</si>
  <si>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</si>
  <si>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</si>
  <si>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</si>
  <si>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</si>
  <si>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</si>
  <si>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</si>
  <si>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</si>
  <si>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</si>
  <si>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</si>
  <si>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</si>
  <si>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</si>
  <si>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</si>
  <si>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</si>
  <si>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</si>
  <si>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</si>
  <si>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</si>
  <si>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</si>
  <si>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</si>
  <si>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</si>
  <si>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</si>
  <si>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</si>
  <si>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</si>
  <si>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</si>
  <si>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</si>
  <si>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</si>
  <si>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</si>
  <si>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</si>
  <si>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</si>
  <si>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</si>
  <si>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</si>
  <si>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</si>
  <si>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</si>
  <si>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</si>
  <si>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</si>
  <si>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</si>
  <si>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</si>
  <si>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</si>
  <si>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</si>
  <si>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</si>
  <si>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</si>
  <si>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</si>
  <si>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</si>
  <si>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</si>
  <si>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</si>
  <si>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</si>
  <si>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</si>
  <si>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</si>
  <si>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</si>
  <si>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</si>
  <si>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</si>
  <si>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</si>
  <si>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</si>
  <si>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</si>
  <si>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</si>
  <si>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</si>
  <si>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</si>
  <si>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</si>
  <si>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</si>
  <si>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</si>
  <si>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</si>
  <si>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</si>
  <si>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</si>
  <si>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</si>
  <si>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</si>
  <si>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</si>
  <si>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</si>
  <si>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</si>
  <si>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</si>
  <si>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</si>
  <si>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</si>
  <si>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</si>
  <si>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</si>
  <si>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</si>
  <si>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</si>
  <si>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</si>
  <si>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</si>
  <si>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</si>
  <si>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</si>
  <si>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</si>
  <si>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</si>
  <si>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</si>
  <si>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</si>
  <si>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</si>
  <si>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</si>
  <si>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</si>
  <si>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</si>
  <si>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</si>
  <si>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</si>
  <si>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</si>
  <si>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</si>
  <si>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</si>
  <si>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</si>
  <si>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</si>
  <si>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</si>
  <si>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</si>
  <si>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</si>
  <si>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</si>
  <si>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</si>
  <si>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</si>
  <si>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</si>
  <si>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</si>
  <si>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</si>
  <si>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</si>
  <si>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</si>
  <si>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</si>
  <si>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</si>
  <si>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</si>
  <si>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</si>
  <si>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</si>
  <si>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</si>
  <si>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</si>
  <si>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</si>
  <si>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</si>
  <si>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</si>
  <si>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</si>
  <si>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</si>
  <si>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</si>
  <si>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</si>
  <si>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</si>
  <si>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</si>
  <si>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</si>
  <si>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</si>
  <si>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</si>
  <si>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</si>
  <si>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</si>
  <si>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</si>
  <si>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</si>
  <si>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</si>
  <si>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</si>
  <si>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</si>
  <si>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</si>
  <si>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</si>
  <si>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</si>
  <si>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</si>
  <si>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</si>
  <si>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</si>
  <si>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</si>
  <si>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</si>
  <si>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</si>
  <si>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</si>
  <si>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</si>
  <si>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</si>
  <si>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</si>
  <si>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</si>
  <si>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</si>
  <si>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</si>
  <si>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</si>
  <si>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</si>
  <si>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</si>
  <si>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</si>
  <si>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</si>
  <si>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</si>
  <si>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</si>
  <si>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</si>
  <si>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</si>
  <si>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</si>
  <si>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</si>
  <si>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</si>
  <si>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</si>
  <si>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</si>
  <si>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</si>
  <si>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</si>
  <si>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</si>
  <si>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</si>
  <si>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</si>
  <si>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</si>
  <si>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</si>
  <si>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</si>
  <si>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</si>
  <si>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</si>
  <si>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</si>
  <si>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</si>
  <si>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</si>
  <si>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</si>
  <si>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</si>
  <si>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</si>
  <si>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</si>
  <si>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</si>
  <si>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</si>
  <si>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</si>
  <si>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</si>
  <si>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</si>
  <si>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</si>
  <si>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</si>
  <si>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</si>
  <si>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</si>
  <si>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</si>
  <si>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</si>
  <si>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</si>
  <si>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</si>
  <si>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</si>
  <si>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</si>
  <si>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</si>
  <si>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</si>
  <si>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</si>
  <si>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</si>
  <si>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</si>
  <si>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</si>
  <si>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</si>
  <si>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</si>
  <si>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</si>
  <si>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</si>
  <si>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</si>
  <si>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</si>
  <si>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</si>
  <si>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</si>
  <si>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</si>
  <si>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</si>
  <si>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</si>
  <si>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</si>
  <si>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</si>
  <si>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</si>
  <si>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</si>
  <si>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</si>
  <si>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Цільова комплексна Програма розвитку фізичної культури та спорту в Новомосковській міській територіальній громаді на 2022-2025 роки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</si>
  <si>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</si>
  <si>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</si>
  <si>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</si>
  <si>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</si>
  <si>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</si>
  <si>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</si>
  <si>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</si>
  <si>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</si>
  <si>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</si>
  <si>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</si>
  <si>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</si>
  <si>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</si>
  <si>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</si>
  <si>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</si>
  <si>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</si>
  <si>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</si>
  <si>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</si>
  <si>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</si>
  <si>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</si>
  <si>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</si>
  <si>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</si>
  <si>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</si>
  <si>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</si>
  <si>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</si>
  <si>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</si>
  <si>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</si>
  <si>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</si>
  <si>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</si>
  <si>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</si>
  <si>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</si>
  <si>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</si>
  <si>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</si>
  <si>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</si>
  <si>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</si>
  <si>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</si>
  <si>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</si>
  <si>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</si>
  <si>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</si>
  <si>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</si>
  <si>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</si>
  <si>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</si>
  <si>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</si>
  <si>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</si>
  <si>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</si>
  <si>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</si>
  <si>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</si>
  <si>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</si>
  <si>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</si>
  <si>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</si>
  <si>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</si>
  <si>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</si>
  <si>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</si>
  <si>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</si>
  <si>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</si>
  <si>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</si>
  <si>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</si>
  <si>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</si>
  <si>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від 11.06.2024 року №1580</t>
  </si>
  <si>
    <t>від 26.10.2022 року № 783 зі змінами від 07.03.2023 року №887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</si>
  <si>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</si>
  <si>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</si>
  <si>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</si>
  <si>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</si>
  <si>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</si>
  <si>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</si>
  <si>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</si>
  <si>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</si>
  <si>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</si>
  <si>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</si>
  <si>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</si>
  <si>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</si>
  <si>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</si>
  <si>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</si>
  <si>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</si>
  <si>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</si>
  <si>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</si>
  <si>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</si>
  <si>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</si>
  <si>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</si>
  <si>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</si>
  <si>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</si>
  <si>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</si>
  <si>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</si>
  <si>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</si>
  <si>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</si>
  <si>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</si>
  <si>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</si>
  <si>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</si>
  <si>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</si>
  <si>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</si>
  <si>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</si>
  <si>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</si>
  <si>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</si>
  <si>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</si>
  <si>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</si>
  <si>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</si>
  <si>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</si>
  <si>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</si>
  <si>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</si>
  <si>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</si>
  <si>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</si>
  <si>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</si>
  <si>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</si>
  <si>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</si>
  <si>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</si>
  <si>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</si>
  <si>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</si>
  <si>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</si>
  <si>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</si>
  <si>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</si>
  <si>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</si>
  <si>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</si>
  <si>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</si>
  <si>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</si>
  <si>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</si>
  <si>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</si>
  <si>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</si>
  <si>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</si>
  <si>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>В.о.начальника фінансового управління Самарівської міської ради</t>
  </si>
  <si>
    <t>Ігор ГОРІШНИЙ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</si>
</sst>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г_р_н_._-;\-* #,##0.00\ _г_р_н_._-;_-* &quot;-&quot;??\ _г_р_н_._-;_-@_-"/>
  </numFmts>
  <fonts count="5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72">
    <xf numFmtId="0" fontId="0" fillId="0" borderId="0" xfId="0"/>
    <xf numFmtId="49" fontId="7" fillId="0" borderId="0" xfId="0" applyNumberFormat="1" applyFont="1" applyFill="1" applyAlignment="1">
      <alignment vertical="top" wrapText="1"/>
    </xf>
    <xf numFmtId="0" fontId="8" fillId="0" borderId="0" xfId="0" applyFont="1" applyFill="1"/>
    <xf numFmtId="4" fontId="8" fillId="0" borderId="0" xfId="0" applyNumberFormat="1" applyFont="1" applyFill="1"/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9" fillId="0" borderId="0" xfId="0" applyNumberFormat="1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0" fillId="0" borderId="4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4" fontId="13" fillId="0" borderId="6" xfId="0" applyNumberFormat="1" applyFont="1" applyFill="1" applyBorder="1" applyAlignment="1">
      <alignment horizontal="right" vertical="top" wrapText="1"/>
    </xf>
    <xf numFmtId="4" fontId="11" fillId="0" borderId="8" xfId="0" applyNumberFormat="1" applyFont="1" applyFill="1" applyBorder="1" applyAlignment="1">
      <alignment horizontal="right" vertical="top" wrapText="1"/>
    </xf>
    <xf numFmtId="2" fontId="11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2" fontId="11" fillId="0" borderId="9" xfId="0" applyNumberFormat="1" applyFont="1" applyFill="1" applyBorder="1" applyAlignment="1">
      <alignment horizontal="right" vertical="top" wrapText="1"/>
    </xf>
    <xf numFmtId="4" fontId="11" fillId="0" borderId="9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16" xfId="0" applyNumberFormat="1" applyFont="1" applyFill="1" applyBorder="1" applyAlignment="1">
      <alignment horizontal="right" vertical="top" wrapText="1"/>
    </xf>
    <xf numFmtId="4" fontId="12" fillId="0" borderId="6" xfId="0" applyNumberFormat="1" applyFont="1" applyFill="1" applyBorder="1" applyAlignment="1">
      <alignment horizontal="right" vertical="top" wrapText="1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vertical="top"/>
    </xf>
    <xf numFmtId="2" fontId="13" fillId="0" borderId="16" xfId="0" applyNumberFormat="1" applyFont="1" applyFill="1" applyBorder="1" applyAlignment="1">
      <alignment horizontal="right" vertical="top" wrapText="1"/>
    </xf>
    <xf numFmtId="4" fontId="13" fillId="0" borderId="16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Fill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8" fillId="0" borderId="0" xfId="0" applyFont="1" applyFill="1" applyAlignment="1">
      <alignment vertical="justify"/>
    </xf>
    <xf numFmtId="0" fontId="10" fillId="0" borderId="0" xfId="0" applyFont="1" applyFill="1" applyAlignment="1">
      <alignment vertical="justify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right" vertical="justify" wrapText="1"/>
    </xf>
    <xf numFmtId="4" fontId="12" fillId="0" borderId="6" xfId="0" applyNumberFormat="1" applyFont="1" applyFill="1" applyBorder="1" applyAlignment="1">
      <alignment horizontal="right" vertical="justify" wrapText="1"/>
    </xf>
    <xf numFmtId="4" fontId="11" fillId="0" borderId="6" xfId="0" applyNumberFormat="1" applyFont="1" applyFill="1" applyBorder="1" applyAlignment="1">
      <alignment horizontal="right" vertical="justify" wrapText="1"/>
    </xf>
    <xf numFmtId="4" fontId="13" fillId="0" borderId="6" xfId="0" applyNumberFormat="1" applyFont="1" applyFill="1" applyBorder="1" applyAlignment="1">
      <alignment horizontal="right" vertical="justify" wrapText="1"/>
    </xf>
    <xf numFmtId="4" fontId="11" fillId="0" borderId="9" xfId="0" applyNumberFormat="1" applyFont="1" applyFill="1" applyBorder="1" applyAlignment="1">
      <alignment horizontal="right" vertical="justify" wrapText="1"/>
    </xf>
    <xf numFmtId="4" fontId="13" fillId="0" borderId="9" xfId="0" applyNumberFormat="1" applyFont="1" applyFill="1" applyBorder="1" applyAlignment="1">
      <alignment horizontal="right" vertical="justify" wrapText="1"/>
    </xf>
    <xf numFmtId="4" fontId="13" fillId="0" borderId="16" xfId="0" applyNumberFormat="1" applyFont="1" applyFill="1" applyBorder="1" applyAlignment="1">
      <alignment horizontal="right" vertical="justify" wrapText="1"/>
    </xf>
    <xf numFmtId="4" fontId="11" fillId="0" borderId="16" xfId="0" applyNumberFormat="1" applyFont="1" applyFill="1" applyBorder="1" applyAlignment="1">
      <alignment horizontal="right" vertical="justify" wrapText="1"/>
    </xf>
    <xf numFmtId="0" fontId="10" fillId="0" borderId="0" xfId="0" applyFont="1" applyFill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Fill="1" applyAlignment="1">
      <alignment vertical="top" wrapText="1"/>
    </xf>
    <xf numFmtId="4" fontId="13" fillId="0" borderId="8" xfId="0" applyNumberFormat="1" applyFont="1" applyFill="1" applyBorder="1" applyAlignment="1">
      <alignment horizontal="right" vertical="top" wrapText="1"/>
    </xf>
    <xf numFmtId="49" fontId="18" fillId="0" borderId="0" xfId="0" applyNumberFormat="1" applyFont="1" applyFill="1" applyAlignment="1">
      <alignment vertical="top" wrapText="1"/>
    </xf>
    <xf numFmtId="49" fontId="18" fillId="0" borderId="0" xfId="0" applyNumberFormat="1" applyFont="1" applyFill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9" fontId="21" fillId="0" borderId="30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justify"/>
    </xf>
    <xf numFmtId="0" fontId="19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/>
    </xf>
    <xf numFmtId="0" fontId="27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justify" wrapText="1"/>
    </xf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right" vertical="justify" wrapText="1"/>
    </xf>
    <xf numFmtId="4" fontId="20" fillId="0" borderId="4" xfId="0" applyNumberFormat="1" applyFont="1" applyFill="1" applyBorder="1" applyAlignment="1">
      <alignment horizontal="right" vertical="top" wrapText="1"/>
    </xf>
    <xf numFmtId="4" fontId="20" fillId="0" borderId="3" xfId="0" applyNumberFormat="1" applyFont="1" applyFill="1" applyBorder="1" applyAlignment="1">
      <alignment horizontal="right" vertical="top" wrapText="1"/>
    </xf>
    <xf numFmtId="49" fontId="28" fillId="0" borderId="7" xfId="0" quotePrefix="1" applyNumberFormat="1" applyFont="1" applyFill="1" applyBorder="1" applyAlignment="1">
      <alignment horizontal="center" vertical="top" wrapText="1"/>
    </xf>
    <xf numFmtId="49" fontId="28" fillId="0" borderId="7" xfId="0" applyNumberFormat="1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justify" wrapText="1"/>
    </xf>
    <xf numFmtId="0" fontId="28" fillId="0" borderId="6" xfId="0" applyFont="1" applyFill="1" applyBorder="1" applyAlignment="1">
      <alignment horizontal="center" vertical="top" wrapText="1"/>
    </xf>
    <xf numFmtId="4" fontId="28" fillId="0" borderId="6" xfId="0" applyNumberFormat="1" applyFont="1" applyFill="1" applyBorder="1" applyAlignment="1">
      <alignment horizontal="right" vertical="justify" wrapText="1"/>
    </xf>
    <xf numFmtId="4" fontId="28" fillId="0" borderId="6" xfId="0" applyNumberFormat="1" applyFont="1" applyFill="1" applyBorder="1" applyAlignment="1">
      <alignment horizontal="right" vertical="top" wrapText="1"/>
    </xf>
    <xf numFmtId="4" fontId="28" fillId="0" borderId="8" xfId="0" applyNumberFormat="1" applyFont="1" applyFill="1" applyBorder="1" applyAlignment="1">
      <alignment horizontal="right" vertical="top" wrapText="1"/>
    </xf>
    <xf numFmtId="0" fontId="21" fillId="0" borderId="7" xfId="0" quotePrefix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justify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6" xfId="0" applyNumberFormat="1" applyFont="1" applyFill="1" applyBorder="1" applyAlignment="1">
      <alignment horizontal="right" vertical="justify" wrapText="1"/>
    </xf>
    <xf numFmtId="4" fontId="21" fillId="0" borderId="6" xfId="0" applyNumberFormat="1" applyFont="1" applyFill="1" applyBorder="1" applyAlignment="1">
      <alignment horizontal="right" vertical="top" wrapText="1"/>
    </xf>
    <xf numFmtId="2" fontId="21" fillId="0" borderId="6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/>
    <xf numFmtId="49" fontId="28" fillId="0" borderId="15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justify" wrapText="1"/>
    </xf>
    <xf numFmtId="0" fontId="28" fillId="0" borderId="16" xfId="0" applyFont="1" applyFill="1" applyBorder="1" applyAlignment="1">
      <alignment horizontal="center" vertical="top" wrapText="1"/>
    </xf>
    <xf numFmtId="4" fontId="28" fillId="0" borderId="16" xfId="0" applyNumberFormat="1" applyFont="1" applyFill="1" applyBorder="1" applyAlignment="1">
      <alignment horizontal="right" vertical="justify" wrapText="1"/>
    </xf>
    <xf numFmtId="4" fontId="28" fillId="0" borderId="16" xfId="0" applyNumberFormat="1" applyFont="1" applyFill="1" applyBorder="1" applyAlignment="1">
      <alignment horizontal="right" vertical="top" wrapText="1"/>
    </xf>
    <xf numFmtId="4" fontId="28" fillId="0" borderId="17" xfId="0" applyNumberFormat="1" applyFont="1" applyFill="1" applyBorder="1" applyAlignment="1">
      <alignment horizontal="right" vertical="top" wrapText="1"/>
    </xf>
    <xf numFmtId="4" fontId="21" fillId="0" borderId="8" xfId="0" applyNumberFormat="1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justify" wrapText="1"/>
    </xf>
    <xf numFmtId="4" fontId="21" fillId="0" borderId="6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top" wrapText="1"/>
    </xf>
    <xf numFmtId="49" fontId="21" fillId="0" borderId="7" xfId="0" quotePrefix="1" applyNumberFormat="1" applyFont="1" applyFill="1" applyBorder="1" applyAlignment="1">
      <alignment horizontal="center" vertical="top" wrapText="1"/>
    </xf>
    <xf numFmtId="2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0" fontId="21" fillId="0" borderId="7" xfId="0" quotePrefix="1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9" fillId="0" borderId="7" xfId="0" quotePrefix="1" applyFont="1" applyFill="1" applyBorder="1" applyAlignment="1">
      <alignment horizontal="center" vertical="top" wrapText="1"/>
    </xf>
    <xf numFmtId="49" fontId="29" fillId="0" borderId="7" xfId="0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4" fontId="29" fillId="0" borderId="6" xfId="0" applyNumberFormat="1" applyFont="1" applyFill="1" applyBorder="1" applyAlignment="1">
      <alignment horizontal="right" vertical="justify" wrapText="1"/>
    </xf>
    <xf numFmtId="4" fontId="29" fillId="0" borderId="6" xfId="0" applyNumberFormat="1" applyFont="1" applyFill="1" applyBorder="1" applyAlignment="1">
      <alignment horizontal="right" vertical="top" wrapText="1"/>
    </xf>
    <xf numFmtId="2" fontId="29" fillId="0" borderId="6" xfId="0" applyNumberFormat="1" applyFont="1" applyFill="1" applyBorder="1" applyAlignment="1">
      <alignment horizontal="right" vertical="top" wrapText="1"/>
    </xf>
    <xf numFmtId="49" fontId="28" fillId="0" borderId="15" xfId="0" quotePrefix="1" applyNumberFormat="1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justify" wrapText="1"/>
    </xf>
    <xf numFmtId="0" fontId="21" fillId="0" borderId="13" xfId="0" applyFont="1" applyFill="1" applyBorder="1" applyAlignment="1">
      <alignment horizontal="center" vertical="justify" wrapText="1"/>
    </xf>
    <xf numFmtId="0" fontId="21" fillId="0" borderId="9" xfId="0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right" vertical="justify" wrapText="1"/>
    </xf>
    <xf numFmtId="4" fontId="21" fillId="0" borderId="9" xfId="0" applyNumberFormat="1" applyFont="1" applyFill="1" applyBorder="1" applyAlignment="1">
      <alignment horizontal="right" vertical="top" wrapText="1"/>
    </xf>
    <xf numFmtId="2" fontId="21" fillId="0" borderId="9" xfId="0" applyNumberFormat="1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9" fillId="0" borderId="0" xfId="0" applyFont="1" applyFill="1"/>
    <xf numFmtId="49" fontId="20" fillId="0" borderId="2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vertical="top" wrapText="1"/>
    </xf>
    <xf numFmtId="0" fontId="28" fillId="0" borderId="0" xfId="0" applyFont="1" applyFill="1"/>
    <xf numFmtId="0" fontId="29" fillId="0" borderId="7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justify" wrapText="1"/>
    </xf>
    <xf numFmtId="0" fontId="29" fillId="0" borderId="9" xfId="0" applyFont="1" applyFill="1" applyBorder="1" applyAlignment="1">
      <alignment horizontal="center" vertical="top" wrapText="1"/>
    </xf>
    <xf numFmtId="4" fontId="29" fillId="0" borderId="9" xfId="0" applyNumberFormat="1" applyFont="1" applyFill="1" applyBorder="1" applyAlignment="1">
      <alignment horizontal="right" vertical="justify" wrapText="1"/>
    </xf>
    <xf numFmtId="4" fontId="29" fillId="0" borderId="9" xfId="0" applyNumberFormat="1" applyFont="1" applyFill="1" applyBorder="1" applyAlignment="1">
      <alignment horizontal="right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top" wrapText="1"/>
    </xf>
    <xf numFmtId="0" fontId="21" fillId="0" borderId="12" xfId="0" quotePrefix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 wrapText="1"/>
    </xf>
    <xf numFmtId="0" fontId="28" fillId="0" borderId="23" xfId="0" applyFont="1" applyFill="1" applyBorder="1" applyAlignment="1">
      <alignment horizontal="center" vertical="justify" wrapText="1"/>
    </xf>
    <xf numFmtId="0" fontId="28" fillId="0" borderId="20" xfId="0" applyFont="1" applyFill="1" applyBorder="1" applyAlignment="1">
      <alignment horizontal="center" vertical="top" wrapText="1"/>
    </xf>
    <xf numFmtId="4" fontId="28" fillId="0" borderId="20" xfId="0" applyNumberFormat="1" applyFont="1" applyFill="1" applyBorder="1" applyAlignment="1">
      <alignment horizontal="right" vertical="justify" wrapText="1"/>
    </xf>
    <xf numFmtId="4" fontId="28" fillId="0" borderId="20" xfId="0" applyNumberFormat="1" applyFont="1" applyFill="1" applyBorder="1" applyAlignment="1">
      <alignment horizontal="right" vertical="top" wrapText="1"/>
    </xf>
    <xf numFmtId="49" fontId="21" fillId="0" borderId="12" xfId="0" quotePrefix="1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center" vertical="justify" wrapText="1"/>
    </xf>
    <xf numFmtId="0" fontId="21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>
      <alignment horizontal="right" vertical="justify" wrapText="1"/>
    </xf>
    <xf numFmtId="4" fontId="21" fillId="0" borderId="16" xfId="0" applyNumberFormat="1" applyFont="1" applyFill="1" applyBorder="1" applyAlignment="1">
      <alignment horizontal="right" vertical="top" wrapText="1"/>
    </xf>
    <xf numFmtId="4" fontId="28" fillId="0" borderId="19" xfId="0" applyNumberFormat="1" applyFont="1" applyFill="1" applyBorder="1" applyAlignment="1">
      <alignment horizontal="right" vertical="top" wrapText="1"/>
    </xf>
    <xf numFmtId="4" fontId="21" fillId="0" borderId="11" xfId="0" applyNumberFormat="1" applyFont="1" applyFill="1" applyBorder="1" applyAlignment="1">
      <alignment horizontal="right" vertical="justify" wrapText="1"/>
    </xf>
    <xf numFmtId="0" fontId="28" fillId="0" borderId="7" xfId="0" applyFont="1" applyFill="1" applyBorder="1" applyAlignment="1">
      <alignment horizontal="center" vertical="top" wrapText="1"/>
    </xf>
    <xf numFmtId="4" fontId="28" fillId="0" borderId="7" xfId="0" applyNumberFormat="1" applyFont="1" applyFill="1" applyBorder="1" applyAlignment="1">
      <alignment horizontal="right" vertical="top" wrapText="1"/>
    </xf>
    <xf numFmtId="49" fontId="28" fillId="0" borderId="23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vertical="top" wrapText="1"/>
    </xf>
    <xf numFmtId="4" fontId="21" fillId="0" borderId="14" xfId="0" applyNumberFormat="1" applyFont="1" applyFill="1" applyBorder="1" applyAlignment="1">
      <alignment horizontal="right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0" fillId="0" borderId="16" xfId="0" applyNumberFormat="1" applyFont="1" applyFill="1" applyBorder="1" applyAlignment="1">
      <alignment horizontal="right" vertical="justify" wrapText="1"/>
    </xf>
    <xf numFmtId="4" fontId="20" fillId="0" borderId="16" xfId="0" applyNumberFormat="1" applyFont="1" applyFill="1" applyBorder="1" applyAlignment="1">
      <alignment horizontal="right" vertical="top" wrapText="1"/>
    </xf>
    <xf numFmtId="4" fontId="21" fillId="0" borderId="10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center" vertical="top" wrapText="1"/>
    </xf>
    <xf numFmtId="49" fontId="29" fillId="0" borderId="15" xfId="0" applyNumberFormat="1" applyFont="1" applyFill="1" applyBorder="1" applyAlignment="1">
      <alignment horizontal="center" vertical="top" wrapText="1"/>
    </xf>
    <xf numFmtId="0" fontId="29" fillId="0" borderId="23" xfId="0" applyFont="1" applyFill="1" applyBorder="1"/>
    <xf numFmtId="0" fontId="29" fillId="0" borderId="16" xfId="0" applyFont="1" applyFill="1" applyBorder="1" applyAlignment="1">
      <alignment horizontal="center" vertical="top" wrapText="1"/>
    </xf>
    <xf numFmtId="4" fontId="29" fillId="0" borderId="16" xfId="0" applyNumberFormat="1" applyFont="1" applyFill="1" applyBorder="1" applyAlignment="1">
      <alignment horizontal="right" vertical="justify" wrapText="1"/>
    </xf>
    <xf numFmtId="4" fontId="29" fillId="0" borderId="16" xfId="0" applyNumberFormat="1" applyFont="1" applyFill="1" applyBorder="1" applyAlignment="1">
      <alignment horizontal="right" vertical="top" wrapText="1"/>
    </xf>
    <xf numFmtId="49" fontId="26" fillId="0" borderId="0" xfId="0" applyNumberFormat="1" applyFont="1" applyFill="1" applyAlignment="1">
      <alignment vertical="top" wrapText="1"/>
    </xf>
    <xf numFmtId="0" fontId="21" fillId="0" borderId="24" xfId="0" applyFont="1" applyFill="1" applyBorder="1" applyAlignment="1">
      <alignment horizontal="center" vertical="justify" wrapText="1"/>
    </xf>
    <xf numFmtId="0" fontId="21" fillId="0" borderId="22" xfId="0" applyFont="1" applyFill="1" applyBorder="1" applyAlignment="1">
      <alignment horizontal="center" vertical="top" wrapText="1"/>
    </xf>
    <xf numFmtId="4" fontId="20" fillId="0" borderId="22" xfId="0" applyNumberFormat="1" applyFont="1" applyFill="1" applyBorder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justify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/>
    <xf numFmtId="4" fontId="24" fillId="0" borderId="0" xfId="0" applyNumberFormat="1" applyFont="1" applyFill="1"/>
    <xf numFmtId="0" fontId="21" fillId="0" borderId="0" xfId="0" applyFont="1" applyFill="1" applyAlignment="1">
      <alignment wrapText="1"/>
    </xf>
    <xf numFmtId="49" fontId="30" fillId="0" borderId="0" xfId="0" applyNumberFormat="1" applyFont="1" applyFill="1" applyAlignment="1">
      <alignment vertical="top" wrapText="1"/>
    </xf>
    <xf numFmtId="49" fontId="31" fillId="0" borderId="0" xfId="0" applyNumberFormat="1" applyFont="1" applyFill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49" fontId="32" fillId="0" borderId="0" xfId="0" applyNumberFormat="1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right" vertical="justify"/>
    </xf>
    <xf numFmtId="4" fontId="26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justify"/>
    </xf>
    <xf numFmtId="0" fontId="30" fillId="0" borderId="0" xfId="0" applyFont="1" applyFill="1" applyAlignment="1">
      <alignment horizontal="center" vertical="top"/>
    </xf>
    <xf numFmtId="4" fontId="30" fillId="0" borderId="0" xfId="0" applyNumberFormat="1" applyFont="1" applyFill="1" applyAlignment="1">
      <alignment horizontal="right" vertical="justify"/>
    </xf>
    <xf numFmtId="4" fontId="30" fillId="0" borderId="0" xfId="0" applyNumberFormat="1" applyFont="1" applyFill="1"/>
    <xf numFmtId="0" fontId="31" fillId="0" borderId="0" xfId="0" applyFont="1" applyFill="1"/>
    <xf numFmtId="0" fontId="33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justify"/>
    </xf>
    <xf numFmtId="0" fontId="31" fillId="0" borderId="0" xfId="0" applyFont="1" applyFill="1" applyAlignment="1">
      <alignment horizontal="center" vertical="top"/>
    </xf>
    <xf numFmtId="4" fontId="33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34" fillId="0" borderId="1" xfId="0" applyFont="1" applyFill="1" applyBorder="1" applyAlignment="1">
      <alignment horizontal="right" vertical="justify"/>
    </xf>
    <xf numFmtId="0" fontId="32" fillId="0" borderId="27" xfId="0" applyFont="1" applyFill="1" applyBorder="1" applyAlignment="1">
      <alignment horizontal="center" vertical="top"/>
    </xf>
    <xf numFmtId="4" fontId="34" fillId="0" borderId="1" xfId="0" applyNumberFormat="1" applyFont="1" applyFill="1" applyBorder="1"/>
    <xf numFmtId="0" fontId="24" fillId="0" borderId="1" xfId="0" applyFont="1" applyFill="1" applyBorder="1" applyAlignment="1">
      <alignment horizontal="right" vertical="justify"/>
    </xf>
    <xf numFmtId="0" fontId="24" fillId="0" borderId="26" xfId="0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horizontal="right" vertical="justify"/>
    </xf>
    <xf numFmtId="4" fontId="26" fillId="0" borderId="1" xfId="0" applyNumberFormat="1" applyFont="1" applyFill="1" applyBorder="1"/>
    <xf numFmtId="0" fontId="24" fillId="0" borderId="29" xfId="0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right" vertical="justify"/>
    </xf>
    <xf numFmtId="4" fontId="26" fillId="0" borderId="31" xfId="0" applyNumberFormat="1" applyFont="1" applyFill="1" applyBorder="1" applyAlignment="1">
      <alignment horizontal="right" vertical="justify"/>
    </xf>
    <xf numFmtId="0" fontId="24" fillId="0" borderId="0" xfId="0" applyFont="1" applyFill="1" applyBorder="1" applyAlignment="1">
      <alignment horizontal="center" vertical="top"/>
    </xf>
    <xf numFmtId="4" fontId="27" fillId="0" borderId="1" xfId="0" applyNumberFormat="1" applyFont="1" applyFill="1" applyBorder="1"/>
    <xf numFmtId="4" fontId="27" fillId="0" borderId="5" xfId="0" applyNumberFormat="1" applyFont="1" applyFill="1" applyBorder="1"/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right" vertical="justify"/>
    </xf>
    <xf numFmtId="0" fontId="19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right" vertical="justify"/>
    </xf>
    <xf numFmtId="0" fontId="19" fillId="0" borderId="28" xfId="0" applyFont="1" applyFill="1" applyBorder="1" applyAlignment="1">
      <alignment horizontal="center" vertical="top"/>
    </xf>
    <xf numFmtId="4" fontId="26" fillId="0" borderId="32" xfId="0" applyNumberFormat="1" applyFont="1" applyFill="1" applyBorder="1" applyAlignment="1">
      <alignment horizontal="right" vertical="justify"/>
    </xf>
    <xf numFmtId="4" fontId="27" fillId="0" borderId="33" xfId="0" applyNumberFormat="1" applyFont="1" applyFill="1" applyBorder="1"/>
    <xf numFmtId="0" fontId="19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justify"/>
    </xf>
    <xf numFmtId="0" fontId="38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vertical="justify"/>
    </xf>
    <xf numFmtId="4" fontId="27" fillId="0" borderId="31" xfId="0" applyNumberFormat="1" applyFont="1" applyFill="1" applyBorder="1"/>
    <xf numFmtId="0" fontId="18" fillId="0" borderId="0" xfId="0" applyFont="1" applyFill="1" applyAlignment="1">
      <alignment vertical="justify"/>
    </xf>
    <xf numFmtId="0" fontId="21" fillId="0" borderId="0" xfId="0" applyFont="1" applyAlignment="1"/>
    <xf numFmtId="0" fontId="24" fillId="0" borderId="0" xfId="0" applyFont="1" applyFill="1" applyAlignment="1"/>
    <xf numFmtId="2" fontId="29" fillId="0" borderId="16" xfId="0" applyNumberFormat="1" applyFont="1" applyFill="1" applyBorder="1" applyAlignment="1">
      <alignment horizontal="right" vertical="top" wrapText="1"/>
    </xf>
    <xf numFmtId="0" fontId="29" fillId="0" borderId="15" xfId="0" quotePrefix="1" applyFont="1" applyFill="1" applyBorder="1" applyAlignment="1">
      <alignment horizontal="center" vertical="top" wrapText="1"/>
    </xf>
    <xf numFmtId="0" fontId="29" fillId="0" borderId="13" xfId="0" quotePrefix="1" applyFont="1" applyFill="1" applyBorder="1" applyAlignment="1">
      <alignment horizontal="center" vertical="top" wrapText="1"/>
    </xf>
    <xf numFmtId="49" fontId="21" fillId="0" borderId="15" xfId="0" quotePrefix="1" applyNumberFormat="1" applyFont="1" applyFill="1" applyBorder="1" applyAlignment="1">
      <alignment horizontal="center" vertical="top" wrapText="1"/>
    </xf>
    <xf numFmtId="0" fontId="21" fillId="0" borderId="15" xfId="0" quotePrefix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3" xfId="0" quotePrefix="1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justify" wrapText="1"/>
    </xf>
    <xf numFmtId="0" fontId="28" fillId="0" borderId="2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justify" wrapText="1"/>
    </xf>
    <xf numFmtId="4" fontId="21" fillId="0" borderId="15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justify"/>
    </xf>
    <xf numFmtId="0" fontId="20" fillId="0" borderId="0" xfId="0" applyFont="1" applyFill="1" applyAlignment="1">
      <alignment horizontal="center"/>
    </xf>
    <xf numFmtId="4" fontId="21" fillId="0" borderId="20" xfId="0" applyNumberFormat="1" applyFont="1" applyFill="1" applyBorder="1" applyAlignment="1">
      <alignment horizontal="right" vertical="top" wrapText="1"/>
    </xf>
    <xf numFmtId="49" fontId="29" fillId="0" borderId="13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justify"/>
    </xf>
    <xf numFmtId="4" fontId="7" fillId="0" borderId="1" xfId="0" applyNumberFormat="1" applyFont="1" applyFill="1" applyBorder="1" applyAlignment="1">
      <alignment horizontal="right" vertical="justify"/>
    </xf>
    <xf numFmtId="4" fontId="39" fillId="0" borderId="1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justify"/>
    </xf>
    <xf numFmtId="4" fontId="7" fillId="0" borderId="31" xfId="0" applyNumberFormat="1" applyFont="1" applyFill="1" applyBorder="1" applyAlignment="1">
      <alignment horizontal="right" vertical="justify"/>
    </xf>
    <xf numFmtId="0" fontId="8" fillId="0" borderId="0" xfId="0" applyFont="1" applyFill="1" applyBorder="1" applyAlignment="1">
      <alignment horizontal="center" vertical="top"/>
    </xf>
    <xf numFmtId="4" fontId="40" fillId="0" borderId="1" xfId="0" applyNumberFormat="1" applyFont="1" applyFill="1" applyBorder="1"/>
    <xf numFmtId="4" fontId="40" fillId="0" borderId="5" xfId="0" applyNumberFormat="1" applyFont="1" applyFill="1" applyBorder="1"/>
    <xf numFmtId="0" fontId="5" fillId="0" borderId="0" xfId="0" applyFont="1" applyFill="1" applyAlignment="1">
      <alignment vertical="justify"/>
    </xf>
    <xf numFmtId="0" fontId="5" fillId="0" borderId="0" xfId="0" applyFont="1" applyFill="1" applyBorder="1" applyAlignment="1">
      <alignment horizontal="right" vertical="justify"/>
    </xf>
    <xf numFmtId="0" fontId="5" fillId="0" borderId="28" xfId="0" applyFont="1" applyFill="1" applyBorder="1" applyAlignment="1">
      <alignment horizontal="center" vertical="top"/>
    </xf>
    <xf numFmtId="4" fontId="7" fillId="0" borderId="32" xfId="0" applyNumberFormat="1" applyFont="1" applyFill="1" applyBorder="1" applyAlignment="1">
      <alignment horizontal="right" vertical="justify"/>
    </xf>
    <xf numFmtId="4" fontId="40" fillId="0" borderId="33" xfId="0" applyNumberFormat="1" applyFont="1" applyFill="1" applyBorder="1"/>
    <xf numFmtId="0" fontId="5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horizontal="right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vertical="justify"/>
    </xf>
    <xf numFmtId="4" fontId="40" fillId="0" borderId="31" xfId="0" applyNumberFormat="1" applyFont="1" applyFill="1" applyBorder="1"/>
    <xf numFmtId="0" fontId="41" fillId="0" borderId="0" xfId="0" applyFont="1" applyFill="1" applyAlignment="1">
      <alignment horizontal="right" vertical="justify"/>
    </xf>
    <xf numFmtId="4" fontId="42" fillId="0" borderId="0" xfId="0" applyNumberFormat="1" applyFont="1" applyFill="1"/>
    <xf numFmtId="4" fontId="41" fillId="0" borderId="0" xfId="0" applyNumberFormat="1" applyFont="1" applyFill="1"/>
    <xf numFmtId="4" fontId="21" fillId="0" borderId="16" xfId="0" applyNumberFormat="1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vertical="top" wrapText="1"/>
    </xf>
    <xf numFmtId="0" fontId="29" fillId="0" borderId="23" xfId="0" applyFont="1" applyFill="1" applyBorder="1" applyAlignment="1">
      <alignment vertical="top" wrapText="1"/>
    </xf>
    <xf numFmtId="0" fontId="29" fillId="0" borderId="1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/>
    <xf numFmtId="2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22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7" fillId="0" borderId="23" xfId="0" applyNumberFormat="1" applyFont="1" applyFill="1" applyBorder="1" applyAlignment="1">
      <alignment horizontal="center" vertical="center" wrapText="1"/>
    </xf>
    <xf numFmtId="49" fontId="29" fillId="0" borderId="15" xfId="0" quotePrefix="1" applyNumberFormat="1" applyFont="1" applyFill="1" applyBorder="1" applyAlignment="1">
      <alignment horizontal="center" vertical="top" wrapText="1"/>
    </xf>
    <xf numFmtId="49" fontId="29" fillId="0" borderId="23" xfId="0" quotePrefix="1" applyNumberFormat="1" applyFont="1" applyFill="1" applyBorder="1" applyAlignment="1">
      <alignment horizontal="center" vertical="top" wrapText="1"/>
    </xf>
    <xf numFmtId="49" fontId="29" fillId="0" borderId="13" xfId="0" quotePrefix="1" applyNumberFormat="1" applyFont="1" applyFill="1" applyBorder="1" applyAlignment="1">
      <alignment horizontal="center" vertical="top" wrapText="1"/>
    </xf>
    <xf numFmtId="49" fontId="29" fillId="0" borderId="7" xfId="0" quotePrefix="1" applyNumberFormat="1" applyFont="1" applyFill="1" applyBorder="1" applyAlignment="1">
      <alignment horizontal="center" vertical="top" wrapText="1"/>
    </xf>
    <xf numFmtId="49" fontId="29" fillId="0" borderId="12" xfId="0" quotePrefix="1" applyNumberFormat="1" applyFont="1" applyFill="1" applyBorder="1" applyAlignment="1">
      <alignment horizontal="center" vertical="top" wrapText="1"/>
    </xf>
    <xf numFmtId="49" fontId="28" fillId="0" borderId="13" xfId="0" quotePrefix="1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31" fillId="0" borderId="0" xfId="0" applyNumberFormat="1" applyFont="1" applyFill="1"/>
    <xf numFmtId="49" fontId="32" fillId="0" borderId="0" xfId="0" applyNumberFormat="1" applyFont="1" applyFill="1"/>
    <xf numFmtId="49" fontId="43" fillId="0" borderId="7" xfId="0" quotePrefix="1" applyNumberFormat="1" applyFont="1" applyFill="1" applyBorder="1" applyAlignment="1">
      <alignment horizontal="center" vertical="top" wrapText="1"/>
    </xf>
    <xf numFmtId="0" fontId="43" fillId="0" borderId="7" xfId="0" quotePrefix="1" applyFont="1" applyFill="1" applyBorder="1" applyAlignment="1">
      <alignment horizontal="center" vertical="top" wrapText="1"/>
    </xf>
    <xf numFmtId="49" fontId="43" fillId="0" borderId="7" xfId="0" applyNumberFormat="1" applyFont="1" applyFill="1" applyBorder="1" applyAlignment="1">
      <alignment horizontal="center" vertical="top" wrapText="1"/>
    </xf>
    <xf numFmtId="0" fontId="43" fillId="0" borderId="7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center" vertical="justify" wrapText="1"/>
    </xf>
    <xf numFmtId="0" fontId="43" fillId="0" borderId="6" xfId="0" applyFont="1" applyFill="1" applyBorder="1" applyAlignment="1">
      <alignment horizontal="center" vertical="top" wrapText="1"/>
    </xf>
    <xf numFmtId="4" fontId="43" fillId="0" borderId="6" xfId="0" applyNumberFormat="1" applyFont="1" applyFill="1" applyBorder="1" applyAlignment="1">
      <alignment horizontal="right" vertical="justify" wrapText="1"/>
    </xf>
    <xf numFmtId="4" fontId="43" fillId="0" borderId="6" xfId="0" applyNumberFormat="1" applyFont="1" applyFill="1" applyBorder="1" applyAlignment="1">
      <alignment horizontal="right" vertical="top" wrapText="1"/>
    </xf>
    <xf numFmtId="0" fontId="29" fillId="0" borderId="15" xfId="0" applyFont="1" applyFill="1" applyBorder="1" applyAlignment="1">
      <alignment horizontal="left" vertical="center" wrapText="1"/>
    </xf>
    <xf numFmtId="4" fontId="21" fillId="0" borderId="20" xfId="0" applyNumberFormat="1" applyFont="1" applyFill="1" applyBorder="1" applyAlignment="1">
      <alignment horizontal="right" vertical="justify" wrapText="1"/>
    </xf>
    <xf numFmtId="2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Fill="1" applyAlignment="1">
      <alignment wrapText="1"/>
    </xf>
    <xf numFmtId="49" fontId="28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45" fillId="0" borderId="12" xfId="0" quotePrefix="1" applyNumberFormat="1" applyFont="1" applyFill="1" applyBorder="1" applyAlignment="1">
      <alignment horizontal="center" vertical="top" wrapText="1"/>
    </xf>
    <xf numFmtId="49" fontId="45" fillId="0" borderId="12" xfId="0" applyNumberFormat="1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horizontal="center" vertical="justify" wrapText="1"/>
    </xf>
    <xf numFmtId="0" fontId="46" fillId="0" borderId="11" xfId="0" applyFont="1" applyFill="1" applyBorder="1" applyAlignment="1">
      <alignment horizontal="center" vertical="top" wrapText="1"/>
    </xf>
    <xf numFmtId="4" fontId="46" fillId="0" borderId="11" xfId="0" applyNumberFormat="1" applyFont="1" applyFill="1" applyBorder="1" applyAlignment="1">
      <alignment horizontal="right" vertical="top" wrapText="1"/>
    </xf>
    <xf numFmtId="0" fontId="46" fillId="0" borderId="0" xfId="0" applyFont="1" applyFill="1"/>
    <xf numFmtId="0" fontId="20" fillId="0" borderId="20" xfId="0" applyFont="1" applyFill="1" applyBorder="1" applyAlignment="1">
      <alignment horizontal="center" vertical="top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6" xfId="0" applyNumberFormat="1" applyFont="1" applyFill="1" applyBorder="1" applyAlignment="1">
      <alignment horizontal="right" vertical="top" wrapText="1"/>
    </xf>
    <xf numFmtId="49" fontId="20" fillId="0" borderId="0" xfId="0" applyNumberFormat="1" applyFont="1" applyFill="1" applyAlignment="1">
      <alignment vertical="top"/>
    </xf>
    <xf numFmtId="4" fontId="21" fillId="0" borderId="17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center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center" vertical="top" wrapText="1"/>
    </xf>
    <xf numFmtId="4" fontId="21" fillId="0" borderId="25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Fill="1" applyAlignment="1">
      <alignment vertical="top"/>
    </xf>
    <xf numFmtId="4" fontId="21" fillId="0" borderId="16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justify" wrapText="1"/>
    </xf>
    <xf numFmtId="0" fontId="23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center" vertical="justify"/>
    </xf>
    <xf numFmtId="0" fontId="20" fillId="0" borderId="15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right" vertical="justify"/>
    </xf>
    <xf numFmtId="0" fontId="47" fillId="0" borderId="0" xfId="0" applyFont="1" applyFill="1" applyAlignment="1">
      <alignment horizontal="right" vertical="justify"/>
    </xf>
    <xf numFmtId="4" fontId="29" fillId="0" borderId="18" xfId="0" applyNumberFormat="1" applyFont="1" applyFill="1" applyBorder="1" applyAlignment="1">
      <alignment horizontal="right" vertical="top" wrapText="1"/>
    </xf>
    <xf numFmtId="4" fontId="29" fillId="0" borderId="7" xfId="0" applyNumberFormat="1" applyFont="1" applyFill="1" applyBorder="1" applyAlignment="1">
      <alignment horizontal="center" vertical="justify" wrapText="1"/>
    </xf>
    <xf numFmtId="4" fontId="29" fillId="0" borderId="6" xfId="0" applyNumberFormat="1" applyFont="1" applyFill="1" applyBorder="1" applyAlignment="1">
      <alignment horizontal="center" vertical="top" wrapText="1"/>
    </xf>
    <xf numFmtId="4" fontId="29" fillId="0" borderId="8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/>
    <xf numFmtId="0" fontId="21" fillId="0" borderId="15" xfId="0" applyFont="1" applyFill="1" applyBorder="1" applyAlignment="1">
      <alignment horizontal="left" vertical="top" wrapText="1"/>
    </xf>
    <xf numFmtId="14" fontId="20" fillId="0" borderId="4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Fill="1" applyBorder="1" applyAlignment="1">
      <alignment horizontal="right" vertical="top" wrapText="1"/>
    </xf>
    <xf numFmtId="49" fontId="21" fillId="0" borderId="21" xfId="0" quotePrefix="1" applyNumberFormat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justify" wrapText="1"/>
    </xf>
    <xf numFmtId="0" fontId="21" fillId="0" borderId="23" xfId="0" applyFont="1" applyFill="1" applyBorder="1" applyAlignment="1">
      <alignment horizontal="center" vertical="top" wrapText="1"/>
    </xf>
    <xf numFmtId="49" fontId="21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justify"/>
    </xf>
    <xf numFmtId="0" fontId="26" fillId="0" borderId="2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>
      <alignment horizontal="center" vertical="center"/>
    </xf>
    <xf numFmtId="49" fontId="21" fillId="0" borderId="23" xfId="0" quotePrefix="1" applyNumberFormat="1" applyFont="1" applyFill="1" applyBorder="1" applyAlignment="1">
      <alignment horizontal="center" vertical="top" wrapText="1"/>
    </xf>
    <xf numFmtId="0" fontId="21" fillId="0" borderId="23" xfId="0" quotePrefix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NumberFormat="1" applyAlignment="1">
      <alignment horizontal="center"/>
    </xf>
    <xf numFmtId="4" fontId="48" fillId="0" borderId="0" xfId="0" applyNumberFormat="1" applyFont="1"/>
    <xf numFmtId="0" fontId="48" fillId="0" borderId="0" xfId="0" applyNumberFormat="1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Fill="1" applyBorder="1" applyAlignment="1">
      <alignment horizontal="center" vertical="justify"/>
    </xf>
    <xf numFmtId="4" fontId="21" fillId="0" borderId="12" xfId="0" applyNumberFormat="1" applyFont="1" applyFill="1" applyBorder="1" applyAlignment="1">
      <alignment horizontal="right" vertical="justify" wrapText="1"/>
    </xf>
    <xf numFmtId="0" fontId="20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1" fillId="0" borderId="21" xfId="0" quotePrefix="1" applyFont="1" applyFill="1" applyBorder="1" applyAlignment="1">
      <alignment vertical="top" wrapText="1"/>
    </xf>
    <xf numFmtId="4" fontId="50" fillId="0" borderId="0" xfId="0" applyNumberFormat="1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horizontal="left"/>
    </xf>
    <xf numFmtId="4" fontId="51" fillId="0" borderId="0" xfId="0" applyNumberFormat="1" applyFont="1"/>
    <xf numFmtId="0" fontId="52" fillId="0" borderId="0" xfId="0" applyFont="1" applyFill="1" applyAlignment="1"/>
    <xf numFmtId="4" fontId="7" fillId="0" borderId="33" xfId="0" applyNumberFormat="1" applyFont="1" applyFill="1" applyBorder="1" applyAlignment="1">
      <alignment horizontal="right" vertical="justify"/>
    </xf>
    <xf numFmtId="4" fontId="39" fillId="0" borderId="33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justify"/>
    </xf>
    <xf numFmtId="0" fontId="7" fillId="0" borderId="43" xfId="0" applyFont="1" applyFill="1" applyBorder="1" applyAlignment="1">
      <alignment horizontal="center" vertical="top"/>
    </xf>
    <xf numFmtId="4" fontId="42" fillId="0" borderId="44" xfId="0" applyNumberFormat="1" applyFont="1" applyFill="1" applyBorder="1"/>
    <xf numFmtId="4" fontId="42" fillId="0" borderId="45" xfId="0" applyNumberFormat="1" applyFont="1" applyFill="1" applyBorder="1"/>
    <xf numFmtId="0" fontId="8" fillId="0" borderId="46" xfId="0" applyFont="1" applyFill="1" applyBorder="1" applyAlignment="1">
      <alignment horizontal="right" vertical="justify"/>
    </xf>
    <xf numFmtId="0" fontId="8" fillId="0" borderId="47" xfId="0" applyFont="1" applyFill="1" applyBorder="1" applyAlignment="1">
      <alignment horizontal="center" vertical="top"/>
    </xf>
    <xf numFmtId="4" fontId="7" fillId="0" borderId="48" xfId="0" applyNumberFormat="1" applyFont="1" applyFill="1" applyBorder="1" applyAlignment="1">
      <alignment horizontal="right" vertical="justify"/>
    </xf>
    <xf numFmtId="4" fontId="7" fillId="0" borderId="49" xfId="0" applyNumberFormat="1" applyFont="1" applyFill="1" applyBorder="1" applyAlignment="1">
      <alignment horizontal="right" vertical="justify"/>
    </xf>
    <xf numFmtId="4" fontId="5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49" fontId="54" fillId="0" borderId="0" xfId="0" applyNumberFormat="1" applyFont="1" applyFill="1" applyAlignment="1">
      <alignment vertical="top" wrapText="1"/>
    </xf>
    <xf numFmtId="49" fontId="55" fillId="0" borderId="0" xfId="0" applyNumberFormat="1" applyFont="1" applyFill="1" applyAlignment="1">
      <alignment vertical="top"/>
    </xf>
    <xf numFmtId="49" fontId="52" fillId="0" borderId="0" xfId="0" applyNumberFormat="1" applyFont="1" applyFill="1"/>
    <xf numFmtId="0" fontId="52" fillId="0" borderId="0" xfId="0" applyFont="1" applyFill="1"/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justify"/>
    </xf>
    <xf numFmtId="0" fontId="5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vertical="justify" wrapText="1"/>
    </xf>
    <xf numFmtId="0" fontId="26" fillId="0" borderId="3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justify" wrapText="1"/>
    </xf>
    <xf numFmtId="0" fontId="53" fillId="0" borderId="0" xfId="0" applyFont="1" applyFill="1" applyAlignment="1">
      <alignment horizontal="center" vertical="justify"/>
    </xf>
    <xf numFmtId="0" fontId="53" fillId="0" borderId="0" xfId="0" applyFont="1" applyFill="1" applyAlignment="1">
      <alignment horizontal="center" vertical="top"/>
    </xf>
    <xf numFmtId="0" fontId="25" fillId="0" borderId="41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49" fontId="25" fillId="0" borderId="41" xfId="0" applyNumberFormat="1" applyFont="1" applyFill="1" applyBorder="1" applyAlignment="1">
      <alignment horizontal="center" vertical="top" wrapText="1"/>
    </xf>
    <xf numFmtId="49" fontId="25" fillId="0" borderId="21" xfId="0" applyNumberFormat="1" applyFont="1" applyFill="1" applyBorder="1" applyAlignment="1">
      <alignment horizontal="center" vertical="top" wrapText="1"/>
    </xf>
    <xf numFmtId="0" fontId="52" fillId="0" borderId="0" xfId="0" applyFont="1" applyFill="1" applyAlignment="1">
      <alignment horizontal="center" vertical="justify"/>
    </xf>
    <xf numFmtId="0" fontId="26" fillId="0" borderId="3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center" vertical="top" wrapText="1"/>
    </xf>
    <xf numFmtId="0" fontId="34" fillId="0" borderId="38" xfId="0" applyFont="1" applyFill="1" applyBorder="1" applyAlignment="1">
      <alignment horizontal="center" vertical="top" wrapText="1"/>
    </xf>
    <xf numFmtId="0" fontId="34" fillId="0" borderId="39" xfId="0" applyFont="1" applyFill="1" applyBorder="1" applyAlignment="1">
      <alignment horizontal="center" vertical="top" wrapText="1"/>
    </xf>
    <xf numFmtId="0" fontId="34" fillId="0" borderId="40" xfId="0" applyFont="1" applyFill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  <xf numFmtId="4" fontId="51" fillId="0" borderId="0" xfId="0" applyNumberFormat="1" applyFont="1" applyFill="1" applyBorder="1" applyAlignment="1">
      <alignment horizontal="center" vertical="center" wrapText="1"/>
    </xf>
    <xf numFmtId="4" fontId="51" fillId="0" borderId="0" xfId="0" quotePrefix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Fill="1" applyBorder="1" applyAlignment="1">
      <alignment horizontal="center" vertical="top"/>
    </xf>
    <xf numFmtId="0" fontId="34" fillId="0" borderId="40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452"/>
  <sheetViews>
    <sheetView showZeros="0" tabSelected="1" view="pageBreakPreview" zoomScale="70" zoomScaleNormal="43" zoomScaleSheetLayoutView="70" zoomScalePageLayoutView="55" workbookViewId="0">
      <selection activeCell="Q416" sqref="Q416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20" customWidth="1"/>
    <col min="5" max="6" width="15.42578125" style="69" customWidth="1"/>
    <col min="7" max="7" width="69.85546875" style="372" customWidth="1"/>
    <col min="8" max="8" width="57" style="70" customWidth="1"/>
    <col min="9" max="9" width="29.85546875" style="71" customWidth="1"/>
    <col min="10" max="10" width="21.85546875" style="70" customWidth="1"/>
    <col min="11" max="11" width="21.85546875" style="69" customWidth="1"/>
    <col min="12" max="12" width="21.28515625" style="69" customWidth="1"/>
    <col min="13" max="13" width="21.85546875" style="69" customWidth="1"/>
    <col min="14" max="15" width="9.140625" style="69"/>
    <col min="16" max="16" width="12.85546875" style="69" bestFit="1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45" t="s">
        <v>327</v>
      </c>
      <c r="E1" s="445"/>
      <c r="F1" s="445"/>
      <c r="G1" s="446"/>
      <c r="H1" s="447"/>
      <c r="I1" s="448"/>
      <c r="J1" s="447"/>
      <c r="K1" s="445"/>
      <c r="L1" s="445"/>
      <c r="M1" s="445"/>
    </row>
    <row r="2" spans="1:13" x14ac:dyDescent="0.3">
      <c r="D2" s="68" t="s">
        <v>270</v>
      </c>
      <c r="E2" s="307"/>
      <c r="F2" s="271"/>
      <c r="G2" s="369"/>
      <c r="H2" s="375"/>
      <c r="I2" s="407"/>
      <c r="J2" s="393"/>
      <c r="K2" s="392"/>
      <c r="L2" s="392"/>
      <c r="M2" s="392"/>
    </row>
    <row r="3" spans="1:13" x14ac:dyDescent="0.3">
      <c r="D3" s="319" t="s">
        <v>188</v>
      </c>
      <c r="E3" s="307"/>
      <c r="F3" s="271"/>
      <c r="G3" s="369"/>
      <c r="H3" s="375"/>
      <c r="I3" s="407"/>
      <c r="J3" s="393"/>
      <c r="K3" s="392"/>
      <c r="L3" s="392"/>
      <c r="M3" s="392"/>
    </row>
    <row r="4" spans="1:13" ht="19.5" thickBot="1" x14ac:dyDescent="0.3">
      <c r="G4" s="370"/>
      <c r="M4" s="72" t="s">
        <v>3</v>
      </c>
    </row>
    <row r="5" spans="1:13" s="100" customFormat="1" ht="19.5" thickBot="1" x14ac:dyDescent="0.25">
      <c r="A5" s="64"/>
      <c r="B5" s="346"/>
      <c r="C5" s="5"/>
      <c r="D5" s="453" t="s">
        <v>131</v>
      </c>
      <c r="E5" s="449" t="s">
        <v>186</v>
      </c>
      <c r="F5" s="449" t="s">
        <v>187</v>
      </c>
      <c r="G5" s="451" t="s">
        <v>99</v>
      </c>
      <c r="H5" s="451" t="s">
        <v>93</v>
      </c>
      <c r="I5" s="443" t="s">
        <v>94</v>
      </c>
      <c r="J5" s="443" t="s">
        <v>95</v>
      </c>
      <c r="K5" s="443" t="s">
        <v>0</v>
      </c>
      <c r="L5" s="456" t="s">
        <v>1</v>
      </c>
      <c r="M5" s="457"/>
    </row>
    <row r="6" spans="1:13" s="100" customFormat="1" ht="87.75" customHeight="1" thickBot="1" x14ac:dyDescent="0.25">
      <c r="A6" s="64"/>
      <c r="B6" s="346"/>
      <c r="C6" s="5"/>
      <c r="D6" s="454"/>
      <c r="E6" s="450"/>
      <c r="F6" s="450"/>
      <c r="G6" s="452"/>
      <c r="H6" s="452"/>
      <c r="I6" s="444"/>
      <c r="J6" s="444"/>
      <c r="K6" s="444"/>
      <c r="L6" s="394" t="s">
        <v>96</v>
      </c>
      <c r="M6" s="394" t="s">
        <v>97</v>
      </c>
    </row>
    <row r="7" spans="1:13" s="101" customFormat="1" ht="23.25" hidden="1" customHeight="1" thickBot="1" x14ac:dyDescent="0.25">
      <c r="A7" s="65"/>
      <c r="B7" s="65"/>
      <c r="C7" s="5"/>
      <c r="D7" s="321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205</v>
      </c>
      <c r="I8" s="80" t="s">
        <v>279</v>
      </c>
      <c r="J8" s="81">
        <f>+K8+L8</f>
        <v>25963602</v>
      </c>
      <c r="K8" s="82">
        <f>+K9+K15</f>
        <v>25963602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0" si="0">IF(J9=0,"","п")</f>
        <v>п</v>
      </c>
      <c r="B9" s="67" t="s">
        <v>146</v>
      </c>
      <c r="C9" s="31"/>
      <c r="D9" s="84" t="s">
        <v>15</v>
      </c>
      <c r="E9" s="85"/>
      <c r="F9" s="85"/>
      <c r="G9" s="86" t="s">
        <v>359</v>
      </c>
      <c r="H9" s="87"/>
      <c r="I9" s="88"/>
      <c r="J9" s="89">
        <f t="shared" ref="J9:J94" si="1">+K9+L9</f>
        <v>16605000</v>
      </c>
      <c r="K9" s="90">
        <f>K10</f>
        <v>16605000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146</v>
      </c>
      <c r="C10" s="31"/>
      <c r="D10" s="84" t="s">
        <v>14</v>
      </c>
      <c r="E10" s="85"/>
      <c r="F10" s="85"/>
      <c r="G10" s="86" t="s">
        <v>359</v>
      </c>
      <c r="H10" s="87"/>
      <c r="I10" s="88"/>
      <c r="J10" s="89">
        <f>+K10+L10</f>
        <v>16605000</v>
      </c>
      <c r="K10" s="90">
        <f>SUM(K11)</f>
        <v>16605000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146</v>
      </c>
      <c r="C11" s="31" t="s">
        <v>119</v>
      </c>
      <c r="D11" s="116" t="s">
        <v>154</v>
      </c>
      <c r="E11" s="92" t="s">
        <v>155</v>
      </c>
      <c r="F11" s="93" t="s">
        <v>128</v>
      </c>
      <c r="G11" s="94" t="s">
        <v>69</v>
      </c>
      <c r="H11" s="95"/>
      <c r="I11" s="96"/>
      <c r="J11" s="97">
        <f t="shared" si="1"/>
        <v>16605000</v>
      </c>
      <c r="K11" s="98">
        <f>16000000+420000+185000</f>
        <v>16605000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146</v>
      </c>
      <c r="C12" s="9" t="str">
        <f t="shared" si="0"/>
        <v/>
      </c>
      <c r="D12" s="322"/>
      <c r="E12" s="258"/>
      <c r="F12" s="188"/>
      <c r="G12" s="123" t="s">
        <v>10</v>
      </c>
      <c r="H12" s="264"/>
      <c r="I12" s="46"/>
      <c r="J12" s="126">
        <f t="shared" si="1"/>
        <v>185000</v>
      </c>
      <c r="K12" s="192">
        <v>185000</v>
      </c>
      <c r="L12" s="257"/>
      <c r="M12" s="257"/>
    </row>
    <row r="13" spans="1:13" s="26" customFormat="1" ht="46.5" hidden="1" customHeight="1" x14ac:dyDescent="0.3">
      <c r="A13" s="66" t="str">
        <f t="shared" si="0"/>
        <v/>
      </c>
      <c r="B13" s="67" t="s">
        <v>146</v>
      </c>
      <c r="C13" s="9"/>
      <c r="D13" s="322"/>
      <c r="E13" s="258"/>
      <c r="F13" s="188"/>
      <c r="G13" s="123" t="s">
        <v>117</v>
      </c>
      <c r="H13" s="264"/>
      <c r="I13" s="46"/>
      <c r="J13" s="126">
        <f t="shared" si="1"/>
        <v>0</v>
      </c>
      <c r="K13" s="192"/>
      <c r="L13" s="257"/>
      <c r="M13" s="257"/>
    </row>
    <row r="14" spans="1:13" s="26" customFormat="1" ht="45.75" hidden="1" customHeight="1" x14ac:dyDescent="0.3">
      <c r="A14" s="9" t="str">
        <f t="shared" si="0"/>
        <v/>
      </c>
      <c r="B14" s="67" t="s">
        <v>146</v>
      </c>
      <c r="C14" s="32"/>
      <c r="D14" s="322"/>
      <c r="E14" s="258"/>
      <c r="F14" s="188"/>
      <c r="G14" s="123" t="s">
        <v>275</v>
      </c>
      <c r="H14" s="264"/>
      <c r="I14" s="46"/>
      <c r="J14" s="126">
        <f t="shared" si="1"/>
        <v>0</v>
      </c>
      <c r="K14" s="192"/>
      <c r="L14" s="257"/>
      <c r="M14" s="257"/>
    </row>
    <row r="15" spans="1:13" s="103" customFormat="1" ht="39" x14ac:dyDescent="0.3">
      <c r="A15" s="66" t="str">
        <f t="shared" si="0"/>
        <v>п</v>
      </c>
      <c r="B15" s="67" t="s">
        <v>147</v>
      </c>
      <c r="C15" s="10"/>
      <c r="D15" s="104" t="s">
        <v>16</v>
      </c>
      <c r="E15" s="104"/>
      <c r="F15" s="104"/>
      <c r="G15" s="105" t="s">
        <v>360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360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147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147</v>
      </c>
      <c r="C18" s="10"/>
      <c r="D18" s="116" t="s">
        <v>18</v>
      </c>
      <c r="E18" s="92" t="s">
        <v>19</v>
      </c>
      <c r="F18" s="93" t="s">
        <v>142</v>
      </c>
      <c r="G18" s="94" t="s">
        <v>20</v>
      </c>
      <c r="H18" s="95"/>
      <c r="I18" s="96"/>
      <c r="J18" s="97">
        <f t="shared" si="1"/>
        <v>2552</v>
      </c>
      <c r="K18" s="98">
        <f>3830-1278</f>
        <v>2552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147</v>
      </c>
      <c r="C19" s="10"/>
      <c r="D19" s="116" t="s">
        <v>21</v>
      </c>
      <c r="E19" s="92" t="s">
        <v>22</v>
      </c>
      <c r="F19" s="93" t="s">
        <v>142</v>
      </c>
      <c r="G19" s="94" t="s">
        <v>143</v>
      </c>
      <c r="H19" s="95"/>
      <c r="I19" s="96"/>
      <c r="J19" s="97">
        <f t="shared" si="1"/>
        <v>5930560</v>
      </c>
      <c r="K19" s="98">
        <f>5000000+930560</f>
        <v>5930560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147</v>
      </c>
      <c r="C20" s="10"/>
      <c r="D20" s="116" t="s">
        <v>23</v>
      </c>
      <c r="E20" s="92" t="s">
        <v>24</v>
      </c>
      <c r="F20" s="93" t="s">
        <v>142</v>
      </c>
      <c r="G20" s="94" t="s">
        <v>144</v>
      </c>
      <c r="H20" s="95"/>
      <c r="I20" s="96"/>
      <c r="J20" s="97">
        <f t="shared" si="1"/>
        <v>15246</v>
      </c>
      <c r="K20" s="98">
        <f>25000-9754</f>
        <v>15246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147</v>
      </c>
      <c r="C21" s="10"/>
      <c r="D21" s="116" t="s">
        <v>25</v>
      </c>
      <c r="E21" s="92" t="s">
        <v>26</v>
      </c>
      <c r="F21" s="93" t="s">
        <v>138</v>
      </c>
      <c r="G21" s="94" t="s">
        <v>103</v>
      </c>
      <c r="H21" s="112"/>
      <c r="I21" s="113"/>
      <c r="J21" s="97">
        <f t="shared" si="1"/>
        <v>2662642</v>
      </c>
      <c r="K21" s="98">
        <f>3132170-469528</f>
        <v>2662642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147</v>
      </c>
      <c r="C22" s="10"/>
      <c r="D22" s="116" t="s">
        <v>262</v>
      </c>
      <c r="E22" s="92">
        <v>3230</v>
      </c>
      <c r="F22" s="93" t="s">
        <v>142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16" t="str">
        <f t="shared" si="0"/>
        <v/>
      </c>
      <c r="B23" s="317" t="s">
        <v>147</v>
      </c>
      <c r="C23" s="318"/>
      <c r="D23" s="325"/>
      <c r="E23" s="121"/>
      <c r="F23" s="122"/>
      <c r="G23" s="143" t="s">
        <v>261</v>
      </c>
      <c r="H23" s="380"/>
      <c r="I23" s="381"/>
      <c r="J23" s="97">
        <f t="shared" si="1"/>
        <v>0</v>
      </c>
      <c r="K23" s="127"/>
      <c r="L23" s="382"/>
      <c r="M23" s="382"/>
    </row>
    <row r="24" spans="1:13" s="102" customFormat="1" ht="38.25" thickBot="1" x14ac:dyDescent="0.35">
      <c r="A24" s="66" t="str">
        <f t="shared" si="0"/>
        <v>п</v>
      </c>
      <c r="B24" s="67" t="s">
        <v>147</v>
      </c>
      <c r="C24" s="10"/>
      <c r="D24" s="116" t="s">
        <v>156</v>
      </c>
      <c r="E24" s="92" t="s">
        <v>155</v>
      </c>
      <c r="F24" s="93" t="s">
        <v>128</v>
      </c>
      <c r="G24" s="94" t="s">
        <v>69</v>
      </c>
      <c r="H24" s="95"/>
      <c r="I24" s="96"/>
      <c r="J24" s="97">
        <f t="shared" si="1"/>
        <v>747602</v>
      </c>
      <c r="K24" s="98">
        <f>1197602-450000</f>
        <v>747602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147</v>
      </c>
      <c r="C25" s="118"/>
      <c r="D25" s="325"/>
      <c r="E25" s="121"/>
      <c r="F25" s="122"/>
      <c r="G25" s="143" t="s">
        <v>261</v>
      </c>
      <c r="H25" s="185"/>
      <c r="I25" s="125"/>
      <c r="J25" s="126">
        <f t="shared" si="1"/>
        <v>0</v>
      </c>
      <c r="K25" s="127"/>
      <c r="L25" s="382"/>
      <c r="M25" s="382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397</v>
      </c>
      <c r="I26" s="80" t="s">
        <v>398</v>
      </c>
      <c r="J26" s="81">
        <f t="shared" si="1"/>
        <v>28195082</v>
      </c>
      <c r="K26" s="82">
        <f t="shared" ref="K26:M27" si="2">+K27</f>
        <v>21623731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146</v>
      </c>
      <c r="C27" s="31"/>
      <c r="D27" s="84" t="s">
        <v>15</v>
      </c>
      <c r="E27" s="84"/>
      <c r="F27" s="84"/>
      <c r="G27" s="86" t="s">
        <v>359</v>
      </c>
      <c r="H27" s="87"/>
      <c r="I27" s="88"/>
      <c r="J27" s="89">
        <f t="shared" si="1"/>
        <v>28195082</v>
      </c>
      <c r="K27" s="90">
        <f t="shared" si="2"/>
        <v>21623731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146</v>
      </c>
      <c r="C28" s="31"/>
      <c r="D28" s="84" t="s">
        <v>14</v>
      </c>
      <c r="E28" s="84"/>
      <c r="F28" s="84"/>
      <c r="G28" s="86" t="s">
        <v>359</v>
      </c>
      <c r="H28" s="87"/>
      <c r="I28" s="88"/>
      <c r="J28" s="89">
        <f>+K28+L28</f>
        <v>28195082</v>
      </c>
      <c r="K28" s="90">
        <f>SUM(K29)+K32+K34</f>
        <v>21623731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146</v>
      </c>
      <c r="C29" s="31"/>
      <c r="D29" s="116" t="s">
        <v>30</v>
      </c>
      <c r="E29" s="114" t="s">
        <v>141</v>
      </c>
      <c r="F29" s="115" t="s">
        <v>130</v>
      </c>
      <c r="G29" s="94" t="s">
        <v>139</v>
      </c>
      <c r="H29" s="95"/>
      <c r="I29" s="96"/>
      <c r="J29" s="97">
        <f>+K29+L29</f>
        <v>23109531</v>
      </c>
      <c r="K29" s="98">
        <f>20819731+140000+44000+620000</f>
        <v>21623731</v>
      </c>
      <c r="L29" s="111">
        <f>1452000+33800</f>
        <v>1485800</v>
      </c>
      <c r="M29" s="111">
        <f>1452000+33800</f>
        <v>1485800</v>
      </c>
    </row>
    <row r="30" spans="1:13" s="26" customFormat="1" ht="37.5" hidden="1" x14ac:dyDescent="0.3">
      <c r="A30" s="61" t="str">
        <f>IF(J30=0,"","п")</f>
        <v/>
      </c>
      <c r="B30" s="29" t="s">
        <v>146</v>
      </c>
      <c r="C30" s="32"/>
      <c r="D30" s="323"/>
      <c r="E30" s="259"/>
      <c r="F30" s="273"/>
      <c r="G30" s="123" t="s">
        <v>175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hidden="1" x14ac:dyDescent="0.3">
      <c r="A31" s="66" t="str">
        <f t="shared" si="0"/>
        <v/>
      </c>
      <c r="B31" s="29" t="s">
        <v>146</v>
      </c>
      <c r="C31" s="32"/>
      <c r="D31" s="324"/>
      <c r="E31" s="259"/>
      <c r="F31" s="273"/>
      <c r="G31" s="309" t="s">
        <v>10</v>
      </c>
      <c r="H31" s="144"/>
      <c r="I31" s="145"/>
      <c r="J31" s="146">
        <f t="shared" si="1"/>
        <v>0</v>
      </c>
      <c r="K31" s="147"/>
      <c r="L31" s="379"/>
      <c r="M31" s="379"/>
    </row>
    <row r="32" spans="1:13" s="12" customFormat="1" ht="19.5" thickBot="1" x14ac:dyDescent="0.3">
      <c r="A32" s="61" t="str">
        <f>IF(J32=0,"","п")</f>
        <v>п</v>
      </c>
      <c r="B32" s="29" t="s">
        <v>146</v>
      </c>
      <c r="C32" s="31"/>
      <c r="D32" s="93" t="s">
        <v>370</v>
      </c>
      <c r="E32" s="92" t="s">
        <v>371</v>
      </c>
      <c r="F32" s="93" t="s">
        <v>194</v>
      </c>
      <c r="G32" s="94" t="s">
        <v>372</v>
      </c>
      <c r="H32" s="95"/>
      <c r="I32" s="37"/>
      <c r="J32" s="97">
        <f>+K32+L32</f>
        <v>5085551</v>
      </c>
      <c r="K32" s="98"/>
      <c r="L32" s="98">
        <f>3586439+1499112</f>
        <v>5085551</v>
      </c>
      <c r="M32" s="98">
        <f>3586439+1499112</f>
        <v>5085551</v>
      </c>
    </row>
    <row r="33" spans="1:13" s="26" customFormat="1" ht="19.5" hidden="1" thickBot="1" x14ac:dyDescent="0.35">
      <c r="A33" s="61" t="str">
        <f>IF(J33=0,"","п")</f>
        <v/>
      </c>
      <c r="B33" s="29" t="s">
        <v>146</v>
      </c>
      <c r="C33" s="32"/>
      <c r="D33" s="325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146</v>
      </c>
      <c r="C34" s="32"/>
      <c r="D34" s="397" t="s">
        <v>71</v>
      </c>
      <c r="E34" s="398">
        <v>7322</v>
      </c>
      <c r="F34" s="390" t="s">
        <v>123</v>
      </c>
      <c r="G34" s="278" t="s">
        <v>306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24" hidden="1" customHeight="1" x14ac:dyDescent="0.25">
      <c r="A36" s="9" t="str">
        <f t="shared" si="0"/>
        <v/>
      </c>
      <c r="B36" s="10" t="s">
        <v>146</v>
      </c>
      <c r="C36" s="31"/>
      <c r="D36" s="84" t="s">
        <v>15</v>
      </c>
      <c r="E36" s="84"/>
      <c r="F36" s="84"/>
      <c r="G36" s="86" t="s">
        <v>359</v>
      </c>
      <c r="H36" s="87"/>
      <c r="I36" s="43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24" hidden="1" customHeight="1" x14ac:dyDescent="0.25">
      <c r="A37" s="9" t="str">
        <f t="shared" si="0"/>
        <v/>
      </c>
      <c r="B37" s="10" t="s">
        <v>146</v>
      </c>
      <c r="C37" s="31"/>
      <c r="D37" s="84" t="s">
        <v>14</v>
      </c>
      <c r="E37" s="84"/>
      <c r="F37" s="84"/>
      <c r="G37" s="86" t="s">
        <v>359</v>
      </c>
      <c r="H37" s="87"/>
      <c r="I37" s="43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29" t="s">
        <v>146</v>
      </c>
      <c r="C38" s="32"/>
      <c r="D38" s="397"/>
      <c r="E38" s="398"/>
      <c r="F38" s="390"/>
      <c r="G38" s="278"/>
      <c r="H38" s="166"/>
      <c r="I38" s="47"/>
      <c r="J38" s="169"/>
      <c r="K38" s="169"/>
      <c r="L38" s="169"/>
      <c r="M38" s="169"/>
    </row>
    <row r="39" spans="1:13" s="102" customFormat="1" ht="99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304</v>
      </c>
      <c r="I39" s="80" t="s">
        <v>339</v>
      </c>
      <c r="J39" s="81">
        <f>+K39+L39</f>
        <v>3452360</v>
      </c>
      <c r="K39" s="82">
        <f>+K40</f>
        <v>3452360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146</v>
      </c>
      <c r="C40" s="31"/>
      <c r="D40" s="84" t="s">
        <v>15</v>
      </c>
      <c r="E40" s="84"/>
      <c r="F40" s="84"/>
      <c r="G40" s="86" t="s">
        <v>359</v>
      </c>
      <c r="H40" s="87"/>
      <c r="I40" s="88"/>
      <c r="J40" s="89">
        <f>+K40+L40</f>
        <v>3452360</v>
      </c>
      <c r="K40" s="90">
        <f t="shared" ref="K40:M41" si="7">SUM(K41)</f>
        <v>3452360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146</v>
      </c>
      <c r="C41" s="31"/>
      <c r="D41" s="84" t="s">
        <v>14</v>
      </c>
      <c r="E41" s="84"/>
      <c r="F41" s="84"/>
      <c r="G41" s="86" t="s">
        <v>359</v>
      </c>
      <c r="H41" s="87"/>
      <c r="I41" s="88"/>
      <c r="J41" s="89">
        <f>+K41+L41</f>
        <v>3452360</v>
      </c>
      <c r="K41" s="90">
        <f>SUM(K42)</f>
        <v>3452360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146</v>
      </c>
      <c r="C42" s="31"/>
      <c r="D42" s="116" t="s">
        <v>89</v>
      </c>
      <c r="E42" s="93" t="s">
        <v>90</v>
      </c>
      <c r="F42" s="93" t="s">
        <v>91</v>
      </c>
      <c r="G42" s="94" t="s">
        <v>92</v>
      </c>
      <c r="H42" s="95"/>
      <c r="I42" s="96"/>
      <c r="J42" s="97">
        <f>+K42+L42</f>
        <v>3452360</v>
      </c>
      <c r="K42" s="98">
        <v>3452360</v>
      </c>
      <c r="L42" s="98"/>
      <c r="M42" s="98"/>
    </row>
    <row r="43" spans="1:13" s="12" customFormat="1" ht="57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183</v>
      </c>
      <c r="I43" s="80" t="s">
        <v>184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25">
      <c r="A44" s="9" t="str">
        <f t="shared" si="0"/>
        <v/>
      </c>
      <c r="B44" s="10" t="s">
        <v>146</v>
      </c>
      <c r="C44" s="31"/>
      <c r="D44" s="84" t="s">
        <v>15</v>
      </c>
      <c r="E44" s="84"/>
      <c r="F44" s="84"/>
      <c r="G44" s="86" t="s">
        <v>359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25">
      <c r="A45" s="9" t="str">
        <f t="shared" si="0"/>
        <v/>
      </c>
      <c r="B45" s="10" t="s">
        <v>146</v>
      </c>
      <c r="C45" s="31"/>
      <c r="D45" s="84" t="s">
        <v>14</v>
      </c>
      <c r="E45" s="84"/>
      <c r="F45" s="84"/>
      <c r="G45" s="86" t="s">
        <v>359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146</v>
      </c>
      <c r="C46" s="31"/>
      <c r="D46" s="116" t="s">
        <v>27</v>
      </c>
      <c r="E46" s="93" t="s">
        <v>28</v>
      </c>
      <c r="F46" s="93" t="s">
        <v>70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79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333</v>
      </c>
      <c r="I47" s="80" t="s">
        <v>334</v>
      </c>
      <c r="J47" s="81">
        <f t="shared" si="1"/>
        <v>12919517</v>
      </c>
      <c r="K47" s="82">
        <f>+K48</f>
        <v>12919517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146</v>
      </c>
      <c r="C48" s="31"/>
      <c r="D48" s="84" t="s">
        <v>15</v>
      </c>
      <c r="E48" s="84"/>
      <c r="F48" s="84"/>
      <c r="G48" s="86" t="s">
        <v>359</v>
      </c>
      <c r="H48" s="87"/>
      <c r="I48" s="88"/>
      <c r="J48" s="89">
        <f t="shared" si="1"/>
        <v>12919517</v>
      </c>
      <c r="K48" s="90">
        <f>SUM(K49)</f>
        <v>12919517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146</v>
      </c>
      <c r="C49" s="31"/>
      <c r="D49" s="84" t="s">
        <v>14</v>
      </c>
      <c r="E49" s="84"/>
      <c r="F49" s="84"/>
      <c r="G49" s="86" t="s">
        <v>359</v>
      </c>
      <c r="H49" s="87"/>
      <c r="I49" s="88"/>
      <c r="J49" s="89">
        <f>+K49+L49</f>
        <v>12919517</v>
      </c>
      <c r="K49" s="90">
        <f>SUM(K50:K55)-K55-K52-K53</f>
        <v>12919517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146</v>
      </c>
      <c r="C50" s="33"/>
      <c r="D50" s="116"/>
      <c r="E50" s="93"/>
      <c r="F50" s="93"/>
      <c r="G50" s="278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146</v>
      </c>
      <c r="C51" s="31"/>
      <c r="D51" s="116" t="s">
        <v>27</v>
      </c>
      <c r="E51" s="93" t="s">
        <v>28</v>
      </c>
      <c r="F51" s="93" t="s">
        <v>70</v>
      </c>
      <c r="G51" s="94" t="s">
        <v>29</v>
      </c>
      <c r="H51" s="95"/>
      <c r="I51" s="96"/>
      <c r="J51" s="97">
        <f>+K51+L51</f>
        <v>12919517</v>
      </c>
      <c r="K51" s="97">
        <v>12919517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146</v>
      </c>
      <c r="C52" s="31"/>
      <c r="D52" s="116"/>
      <c r="E52" s="93"/>
      <c r="F52" s="93"/>
      <c r="G52" s="123" t="s">
        <v>274</v>
      </c>
      <c r="H52" s="264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146</v>
      </c>
      <c r="C53" s="31"/>
      <c r="D53" s="116"/>
      <c r="E53" s="93"/>
      <c r="F53" s="93"/>
      <c r="G53" s="123" t="s">
        <v>10</v>
      </c>
      <c r="H53" s="264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1"/>
      <c r="D54" s="116" t="s">
        <v>192</v>
      </c>
      <c r="E54" s="93" t="s">
        <v>193</v>
      </c>
      <c r="F54" s="93" t="s">
        <v>194</v>
      </c>
      <c r="G54" s="119" t="s">
        <v>195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146</v>
      </c>
      <c r="C55" s="32"/>
      <c r="D55" s="325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2" si="11">+K56+L56</f>
        <v>304036490</v>
      </c>
      <c r="K56" s="82">
        <f>+K67+K57+K60</f>
        <v>0</v>
      </c>
      <c r="L56" s="82">
        <f>+L67+L57+L60</f>
        <v>304036490</v>
      </c>
      <c r="M56" s="82">
        <f>+M67+M57+M60</f>
        <v>304036490</v>
      </c>
    </row>
    <row r="57" spans="1:13" s="102" customFormat="1" ht="17.25" hidden="1" customHeight="1" x14ac:dyDescent="0.3">
      <c r="A57" s="66" t="str">
        <f t="shared" si="0"/>
        <v/>
      </c>
      <c r="B57" s="67" t="s">
        <v>146</v>
      </c>
      <c r="C57" s="10"/>
      <c r="D57" s="84" t="s">
        <v>15</v>
      </c>
      <c r="E57" s="84"/>
      <c r="F57" s="84"/>
      <c r="G57" s="86" t="s">
        <v>359</v>
      </c>
      <c r="H57" s="376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146</v>
      </c>
      <c r="C58" s="10"/>
      <c r="D58" s="84" t="s">
        <v>14</v>
      </c>
      <c r="E58" s="84"/>
      <c r="F58" s="84"/>
      <c r="G58" s="86" t="s">
        <v>359</v>
      </c>
      <c r="H58" s="376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146</v>
      </c>
      <c r="C59" s="10"/>
      <c r="D59" s="179" t="s">
        <v>268</v>
      </c>
      <c r="E59" s="175">
        <v>7330</v>
      </c>
      <c r="F59" s="179" t="s">
        <v>123</v>
      </c>
      <c r="G59" s="384" t="s">
        <v>269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6" si="13">IF(J60=0,"","п")</f>
        <v>п</v>
      </c>
      <c r="B60" s="67" t="s">
        <v>148</v>
      </c>
      <c r="C60" s="10"/>
      <c r="D60" s="84" t="s">
        <v>40</v>
      </c>
      <c r="E60" s="85"/>
      <c r="F60" s="85"/>
      <c r="G60" s="86" t="s">
        <v>362</v>
      </c>
      <c r="H60" s="87"/>
      <c r="I60" s="88"/>
      <c r="J60" s="89">
        <f t="shared" si="11"/>
        <v>29937198</v>
      </c>
      <c r="K60" s="90">
        <f t="shared" ref="K60:M60" si="14">K61</f>
        <v>0</v>
      </c>
      <c r="L60" s="90">
        <f t="shared" si="14"/>
        <v>29937198</v>
      </c>
      <c r="M60" s="90">
        <f t="shared" si="14"/>
        <v>29937198</v>
      </c>
    </row>
    <row r="61" spans="1:13" s="103" customFormat="1" ht="19.5" x14ac:dyDescent="0.3">
      <c r="A61" s="66" t="str">
        <f t="shared" si="13"/>
        <v>п</v>
      </c>
      <c r="B61" s="67" t="s">
        <v>148</v>
      </c>
      <c r="C61" s="10"/>
      <c r="D61" s="84" t="s">
        <v>41</v>
      </c>
      <c r="E61" s="85"/>
      <c r="F61" s="85"/>
      <c r="G61" s="86" t="s">
        <v>362</v>
      </c>
      <c r="H61" s="87"/>
      <c r="I61" s="88"/>
      <c r="J61" s="89">
        <f t="shared" si="11"/>
        <v>29937198</v>
      </c>
      <c r="K61" s="90">
        <f>K65</f>
        <v>0</v>
      </c>
      <c r="L61" s="90">
        <f>L65+L63+L64+L62</f>
        <v>29937198</v>
      </c>
      <c r="M61" s="90">
        <f>M65+M63+M64+M62</f>
        <v>29937198</v>
      </c>
    </row>
    <row r="62" spans="1:13" s="103" customFormat="1" x14ac:dyDescent="0.3">
      <c r="A62" s="66" t="str">
        <f t="shared" si="13"/>
        <v>п</v>
      </c>
      <c r="B62" s="67" t="s">
        <v>148</v>
      </c>
      <c r="C62" s="10"/>
      <c r="D62" s="116" t="s">
        <v>42</v>
      </c>
      <c r="E62" s="179" t="s">
        <v>138</v>
      </c>
      <c r="F62" s="179" t="s">
        <v>126</v>
      </c>
      <c r="G62" s="278" t="s">
        <v>43</v>
      </c>
      <c r="H62" s="133"/>
      <c r="I62" s="134"/>
      <c r="J62" s="135">
        <f t="shared" si="11"/>
        <v>950000</v>
      </c>
      <c r="K62" s="136"/>
      <c r="L62" s="136">
        <v>950000</v>
      </c>
      <c r="M62" s="136">
        <v>950000</v>
      </c>
    </row>
    <row r="63" spans="1:13" s="103" customFormat="1" ht="37.5" x14ac:dyDescent="0.3">
      <c r="A63" s="66" t="str">
        <f t="shared" ref="A63" si="15">IF(J63=0,"","п")</f>
        <v>п</v>
      </c>
      <c r="B63" s="67" t="s">
        <v>148</v>
      </c>
      <c r="C63" s="10"/>
      <c r="D63" s="116" t="s">
        <v>207</v>
      </c>
      <c r="E63" s="179" t="s">
        <v>208</v>
      </c>
      <c r="F63" s="179" t="s">
        <v>127</v>
      </c>
      <c r="G63" s="278" t="s">
        <v>271</v>
      </c>
      <c r="H63" s="133"/>
      <c r="I63" s="134"/>
      <c r="J63" s="135">
        <f t="shared" ref="J63:J66" si="16">+K63+L63</f>
        <v>3803175</v>
      </c>
      <c r="K63" s="136"/>
      <c r="L63" s="136">
        <f>1380358+2422817</f>
        <v>3803175</v>
      </c>
      <c r="M63" s="136">
        <f>1380358+2422817</f>
        <v>3803175</v>
      </c>
    </row>
    <row r="64" spans="1:13" s="103" customFormat="1" ht="54" hidden="1" customHeight="1" x14ac:dyDescent="0.3">
      <c r="A64" s="66" t="str">
        <f t="shared" ref="A64" si="17">IF(J64=0,"","п")</f>
        <v/>
      </c>
      <c r="B64" s="67" t="s">
        <v>148</v>
      </c>
      <c r="C64" s="10"/>
      <c r="D64" s="116"/>
      <c r="E64" s="179"/>
      <c r="F64" s="179"/>
      <c r="G64" s="278"/>
      <c r="H64" s="133"/>
      <c r="I64" s="134"/>
      <c r="J64" s="135">
        <f t="shared" si="16"/>
        <v>0</v>
      </c>
      <c r="K64" s="136"/>
      <c r="L64" s="136"/>
      <c r="M64" s="136"/>
    </row>
    <row r="65" spans="1:13" s="102" customFormat="1" ht="32.25" customHeight="1" x14ac:dyDescent="0.3">
      <c r="A65" s="66" t="str">
        <f t="shared" si="13"/>
        <v>п</v>
      </c>
      <c r="B65" s="67" t="s">
        <v>148</v>
      </c>
      <c r="C65" s="10"/>
      <c r="D65" s="116" t="s">
        <v>368</v>
      </c>
      <c r="E65" s="175">
        <v>1300</v>
      </c>
      <c r="F65" s="179" t="s">
        <v>160</v>
      </c>
      <c r="G65" s="384" t="s">
        <v>153</v>
      </c>
      <c r="H65" s="133"/>
      <c r="I65" s="134"/>
      <c r="J65" s="135">
        <f t="shared" si="16"/>
        <v>25184023</v>
      </c>
      <c r="K65" s="136"/>
      <c r="L65" s="136">
        <f>5447368+11454160+317056+40483+7824956+100000</f>
        <v>25184023</v>
      </c>
      <c r="M65" s="136">
        <f>5447368+11454160+317056+40483+7824956+100000</f>
        <v>25184023</v>
      </c>
    </row>
    <row r="66" spans="1:13" s="139" customFormat="1" ht="19.5" x14ac:dyDescent="0.3">
      <c r="A66" s="117" t="str">
        <f t="shared" si="13"/>
        <v>п</v>
      </c>
      <c r="B66" s="118" t="s">
        <v>148</v>
      </c>
      <c r="C66" s="118"/>
      <c r="D66" s="188"/>
      <c r="E66" s="187"/>
      <c r="F66" s="188"/>
      <c r="G66" s="342" t="s">
        <v>239</v>
      </c>
      <c r="H66" s="144"/>
      <c r="I66" s="145"/>
      <c r="J66" s="146">
        <f t="shared" si="16"/>
        <v>7824956</v>
      </c>
      <c r="K66" s="147"/>
      <c r="L66" s="147">
        <v>7824956</v>
      </c>
      <c r="M66" s="147">
        <v>7824956</v>
      </c>
    </row>
    <row r="67" spans="1:13" s="103" customFormat="1" ht="41.25" customHeight="1" x14ac:dyDescent="0.3">
      <c r="A67" s="9" t="str">
        <f t="shared" si="0"/>
        <v>п</v>
      </c>
      <c r="B67" s="1" t="s">
        <v>149</v>
      </c>
      <c r="C67" s="10"/>
      <c r="D67" s="129" t="s">
        <v>47</v>
      </c>
      <c r="E67" s="104"/>
      <c r="F67" s="104"/>
      <c r="G67" s="105" t="s">
        <v>363</v>
      </c>
      <c r="H67" s="87"/>
      <c r="I67" s="88"/>
      <c r="J67" s="89">
        <f t="shared" si="1"/>
        <v>274099292</v>
      </c>
      <c r="K67" s="90">
        <f t="shared" ref="K67:M67" si="18">+K68</f>
        <v>0</v>
      </c>
      <c r="L67" s="90">
        <f t="shared" si="18"/>
        <v>274099292</v>
      </c>
      <c r="M67" s="90">
        <f t="shared" si="18"/>
        <v>274099292</v>
      </c>
    </row>
    <row r="68" spans="1:13" s="103" customFormat="1" ht="42.75" customHeight="1" x14ac:dyDescent="0.3">
      <c r="A68" s="9" t="str">
        <f t="shared" si="0"/>
        <v>п</v>
      </c>
      <c r="B68" s="1" t="s">
        <v>149</v>
      </c>
      <c r="C68" s="10"/>
      <c r="D68" s="129" t="s">
        <v>48</v>
      </c>
      <c r="E68" s="104"/>
      <c r="F68" s="104"/>
      <c r="G68" s="105" t="s">
        <v>363</v>
      </c>
      <c r="H68" s="130"/>
      <c r="I68" s="131"/>
      <c r="J68" s="132">
        <f>+K68+L68</f>
        <v>274099292</v>
      </c>
      <c r="K68" s="90">
        <f>SUM(K69:K75)-K70</f>
        <v>0</v>
      </c>
      <c r="L68" s="90">
        <f>SUM(L69:L75)-L70-L72</f>
        <v>274099292</v>
      </c>
      <c r="M68" s="90">
        <f>SUM(M69:M75)-M70-M72</f>
        <v>274099292</v>
      </c>
    </row>
    <row r="69" spans="1:13" s="102" customFormat="1" ht="37.5" hidden="1" x14ac:dyDescent="0.3">
      <c r="A69" s="66" t="str">
        <f t="shared" si="0"/>
        <v/>
      </c>
      <c r="B69" s="67" t="s">
        <v>149</v>
      </c>
      <c r="C69" s="31"/>
      <c r="D69" s="116" t="s">
        <v>284</v>
      </c>
      <c r="E69" s="92">
        <v>8110</v>
      </c>
      <c r="F69" s="93" t="s">
        <v>174</v>
      </c>
      <c r="G69" s="94" t="s">
        <v>260</v>
      </c>
      <c r="H69" s="133"/>
      <c r="I69" s="134"/>
      <c r="J69" s="135">
        <f t="shared" si="1"/>
        <v>0</v>
      </c>
      <c r="K69" s="136"/>
      <c r="L69" s="136"/>
      <c r="M69" s="136"/>
    </row>
    <row r="70" spans="1:13" s="139" customFormat="1" ht="19.5" hidden="1" x14ac:dyDescent="0.3">
      <c r="A70" s="117" t="str">
        <f t="shared" si="0"/>
        <v/>
      </c>
      <c r="B70" s="118" t="s">
        <v>149</v>
      </c>
      <c r="C70" s="118"/>
      <c r="D70" s="188"/>
      <c r="E70" s="187"/>
      <c r="F70" s="188"/>
      <c r="G70" s="342" t="s">
        <v>239</v>
      </c>
      <c r="H70" s="144"/>
      <c r="I70" s="145"/>
      <c r="J70" s="146">
        <f t="shared" si="1"/>
        <v>0</v>
      </c>
      <c r="K70" s="147"/>
      <c r="L70" s="147"/>
      <c r="M70" s="147"/>
    </row>
    <row r="71" spans="1:13" s="102" customFormat="1" ht="141" customHeight="1" x14ac:dyDescent="0.3">
      <c r="A71" s="66" t="str">
        <f t="shared" ref="A71:A73" si="19">IF(J71=0,"","п")</f>
        <v>п</v>
      </c>
      <c r="B71" s="67" t="s">
        <v>149</v>
      </c>
      <c r="C71" s="31"/>
      <c r="D71" s="116">
        <v>1211261</v>
      </c>
      <c r="E71" s="92">
        <v>1261</v>
      </c>
      <c r="F71" s="93" t="s">
        <v>160</v>
      </c>
      <c r="G71" s="94" t="s">
        <v>388</v>
      </c>
      <c r="H71" s="133"/>
      <c r="I71" s="134"/>
      <c r="J71" s="135">
        <f t="shared" si="1"/>
        <v>29850447</v>
      </c>
      <c r="K71" s="136"/>
      <c r="L71" s="136">
        <f>100000-100000+13369416+16481031</f>
        <v>29850447</v>
      </c>
      <c r="M71" s="136">
        <f>100000-100000+13369416+16481031</f>
        <v>29850447</v>
      </c>
    </row>
    <row r="72" spans="1:13" s="139" customFormat="1" ht="19.5" x14ac:dyDescent="0.3">
      <c r="A72" s="117" t="str">
        <f t="shared" si="19"/>
        <v>п</v>
      </c>
      <c r="B72" s="118" t="s">
        <v>149</v>
      </c>
      <c r="C72" s="118"/>
      <c r="D72" s="188"/>
      <c r="E72" s="187"/>
      <c r="F72" s="188"/>
      <c r="G72" s="342" t="s">
        <v>239</v>
      </c>
      <c r="H72" s="144"/>
      <c r="I72" s="145"/>
      <c r="J72" s="146">
        <f t="shared" si="1"/>
        <v>29850447</v>
      </c>
      <c r="K72" s="147"/>
      <c r="L72" s="147">
        <f>13369416+16481031</f>
        <v>29850447</v>
      </c>
      <c r="M72" s="147">
        <f>13369416+16481031</f>
        <v>29850447</v>
      </c>
    </row>
    <row r="73" spans="1:13" s="103" customFormat="1" ht="99" customHeight="1" x14ac:dyDescent="0.3">
      <c r="A73" s="66" t="str">
        <f t="shared" si="19"/>
        <v>п</v>
      </c>
      <c r="B73" s="67" t="s">
        <v>149</v>
      </c>
      <c r="C73" s="10"/>
      <c r="D73" s="116" t="s">
        <v>389</v>
      </c>
      <c r="E73" s="179" t="s">
        <v>380</v>
      </c>
      <c r="F73" s="179" t="s">
        <v>160</v>
      </c>
      <c r="G73" s="278" t="s">
        <v>381</v>
      </c>
      <c r="H73" s="133"/>
      <c r="I73" s="134"/>
      <c r="J73" s="135">
        <f t="shared" si="1"/>
        <v>243142999</v>
      </c>
      <c r="K73" s="136"/>
      <c r="L73" s="136">
        <v>243142999</v>
      </c>
      <c r="M73" s="136">
        <v>243142999</v>
      </c>
    </row>
    <row r="74" spans="1:13" s="103" customFormat="1" ht="34.5" customHeight="1" thickBot="1" x14ac:dyDescent="0.35">
      <c r="A74" s="66" t="str">
        <f t="shared" ref="A74" si="20">IF(J74=0,"","п")</f>
        <v>п</v>
      </c>
      <c r="B74" s="67" t="s">
        <v>149</v>
      </c>
      <c r="C74" s="10"/>
      <c r="D74" s="260" t="s">
        <v>395</v>
      </c>
      <c r="E74" s="179" t="s">
        <v>396</v>
      </c>
      <c r="F74" s="179" t="s">
        <v>160</v>
      </c>
      <c r="G74" s="278" t="s">
        <v>153</v>
      </c>
      <c r="H74" s="133"/>
      <c r="I74" s="134"/>
      <c r="J74" s="135">
        <f t="shared" si="1"/>
        <v>1105846</v>
      </c>
      <c r="K74" s="136"/>
      <c r="L74" s="136">
        <f>616630+489216</f>
        <v>1105846</v>
      </c>
      <c r="M74" s="136">
        <f>616630+489216</f>
        <v>1105846</v>
      </c>
    </row>
    <row r="75" spans="1:13" s="102" customFormat="1" ht="38.25" hidden="1" customHeight="1" thickBot="1" x14ac:dyDescent="0.35">
      <c r="A75" s="66" t="str">
        <f t="shared" si="0"/>
        <v/>
      </c>
      <c r="B75" s="67" t="s">
        <v>149</v>
      </c>
      <c r="C75" s="31"/>
      <c r="D75" s="179" t="s">
        <v>305</v>
      </c>
      <c r="E75" s="175">
        <v>7330</v>
      </c>
      <c r="F75" s="179" t="s">
        <v>123</v>
      </c>
      <c r="G75" s="384" t="s">
        <v>269</v>
      </c>
      <c r="H75" s="133"/>
      <c r="I75" s="134"/>
      <c r="J75" s="135">
        <f t="shared" si="1"/>
        <v>0</v>
      </c>
      <c r="K75" s="136"/>
      <c r="L75" s="136">
        <f>3197885-3197885</f>
        <v>0</v>
      </c>
      <c r="M75" s="136">
        <f>3197885-3197885</f>
        <v>0</v>
      </c>
    </row>
    <row r="76" spans="1:13" s="102" customFormat="1" ht="77.25" customHeight="1" x14ac:dyDescent="0.3">
      <c r="A76" s="66" t="str">
        <f t="shared" si="0"/>
        <v>п</v>
      </c>
      <c r="B76" s="67"/>
      <c r="C76" s="10"/>
      <c r="D76" s="77"/>
      <c r="E76" s="76"/>
      <c r="F76" s="77"/>
      <c r="G76" s="78"/>
      <c r="H76" s="79" t="s">
        <v>281</v>
      </c>
      <c r="I76" s="80" t="s">
        <v>340</v>
      </c>
      <c r="J76" s="81">
        <f t="shared" si="1"/>
        <v>680347</v>
      </c>
      <c r="K76" s="82">
        <f>+K77+K85</f>
        <v>680347</v>
      </c>
      <c r="L76" s="82">
        <f>+L77</f>
        <v>0</v>
      </c>
      <c r="M76" s="82">
        <f>+M77</f>
        <v>0</v>
      </c>
    </row>
    <row r="77" spans="1:13" s="103" customFormat="1" ht="39" x14ac:dyDescent="0.3">
      <c r="A77" s="66" t="str">
        <f t="shared" si="0"/>
        <v>п</v>
      </c>
      <c r="B77" s="67" t="s">
        <v>6</v>
      </c>
      <c r="C77" s="31"/>
      <c r="D77" s="129" t="s">
        <v>134</v>
      </c>
      <c r="E77" s="104"/>
      <c r="F77" s="104"/>
      <c r="G77" s="105" t="s">
        <v>361</v>
      </c>
      <c r="H77" s="87"/>
      <c r="I77" s="88"/>
      <c r="J77" s="89">
        <f t="shared" si="1"/>
        <v>680347</v>
      </c>
      <c r="K77" s="90">
        <f>K78</f>
        <v>680347</v>
      </c>
      <c r="L77" s="90">
        <f>L78</f>
        <v>0</v>
      </c>
      <c r="M77" s="90">
        <f>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135</v>
      </c>
      <c r="E78" s="104"/>
      <c r="F78" s="104"/>
      <c r="G78" s="105" t="s">
        <v>361</v>
      </c>
      <c r="H78" s="130"/>
      <c r="I78" s="131"/>
      <c r="J78" s="132">
        <f t="shared" si="1"/>
        <v>680347</v>
      </c>
      <c r="K78" s="90">
        <f>SUM(K79:K84)-K83</f>
        <v>680347</v>
      </c>
      <c r="L78" s="90">
        <f t="shared" ref="L78:M78" si="21">SUM(L79:L84)-L83</f>
        <v>0</v>
      </c>
      <c r="M78" s="90">
        <f t="shared" si="21"/>
        <v>0</v>
      </c>
    </row>
    <row r="79" spans="1:13" s="102" customFormat="1" ht="37.5" x14ac:dyDescent="0.3">
      <c r="A79" s="66" t="str">
        <f t="shared" si="0"/>
        <v>п</v>
      </c>
      <c r="B79" s="67" t="s">
        <v>6</v>
      </c>
      <c r="C79" s="31" t="s">
        <v>7</v>
      </c>
      <c r="D79" s="116" t="s">
        <v>219</v>
      </c>
      <c r="E79" s="92" t="s">
        <v>31</v>
      </c>
      <c r="F79" s="93" t="s">
        <v>121</v>
      </c>
      <c r="G79" s="94" t="s">
        <v>132</v>
      </c>
      <c r="H79" s="133"/>
      <c r="I79" s="134"/>
      <c r="J79" s="135">
        <f t="shared" si="1"/>
        <v>193411</v>
      </c>
      <c r="K79" s="136">
        <v>193411</v>
      </c>
      <c r="L79" s="136"/>
      <c r="M79" s="136"/>
    </row>
    <row r="80" spans="1:13" s="102" customFormat="1" ht="37.5" x14ac:dyDescent="0.3">
      <c r="A80" s="66" t="str">
        <f>IF(J80=0,"","п")</f>
        <v>п</v>
      </c>
      <c r="B80" s="67" t="s">
        <v>6</v>
      </c>
      <c r="C80" s="31"/>
      <c r="D80" s="93" t="s">
        <v>220</v>
      </c>
      <c r="E80" s="92">
        <v>5012</v>
      </c>
      <c r="F80" s="93" t="s">
        <v>121</v>
      </c>
      <c r="G80" s="94" t="s">
        <v>98</v>
      </c>
      <c r="H80" s="138"/>
      <c r="I80" s="134"/>
      <c r="J80" s="136">
        <f>+K80+L80</f>
        <v>19765</v>
      </c>
      <c r="K80" s="136">
        <v>19765</v>
      </c>
      <c r="L80" s="137"/>
      <c r="M80" s="137"/>
    </row>
    <row r="81" spans="1:13" s="102" customFormat="1" ht="56.25" x14ac:dyDescent="0.3">
      <c r="A81" s="66" t="str">
        <f t="shared" si="0"/>
        <v>п</v>
      </c>
      <c r="B81" s="67" t="s">
        <v>6</v>
      </c>
      <c r="C81" s="31"/>
      <c r="D81" s="116">
        <v>1015031</v>
      </c>
      <c r="E81" s="92" t="s">
        <v>32</v>
      </c>
      <c r="F81" s="93" t="s">
        <v>121</v>
      </c>
      <c r="G81" s="94" t="s">
        <v>352</v>
      </c>
      <c r="H81" s="133"/>
      <c r="I81" s="134"/>
      <c r="J81" s="135">
        <f t="shared" si="1"/>
        <v>60000</v>
      </c>
      <c r="K81" s="136">
        <v>60000</v>
      </c>
      <c r="L81" s="136"/>
      <c r="M81" s="136"/>
    </row>
    <row r="82" spans="1:13" s="102" customFormat="1" ht="60.75" customHeight="1" x14ac:dyDescent="0.3">
      <c r="A82" s="66" t="str">
        <f t="shared" si="0"/>
        <v>п</v>
      </c>
      <c r="B82" s="67" t="s">
        <v>6</v>
      </c>
      <c r="C82" s="31"/>
      <c r="D82" s="116" t="s">
        <v>221</v>
      </c>
      <c r="E82" s="92" t="s">
        <v>34</v>
      </c>
      <c r="F82" s="93" t="s">
        <v>121</v>
      </c>
      <c r="G82" s="94" t="s">
        <v>35</v>
      </c>
      <c r="H82" s="133"/>
      <c r="I82" s="134"/>
      <c r="J82" s="135">
        <f t="shared" si="1"/>
        <v>38000</v>
      </c>
      <c r="K82" s="136">
        <v>38000</v>
      </c>
      <c r="L82" s="136"/>
      <c r="M82" s="136"/>
    </row>
    <row r="83" spans="1:13" s="26" customFormat="1" ht="49.5" hidden="1" customHeight="1" x14ac:dyDescent="0.3">
      <c r="A83" s="9" t="str">
        <f t="shared" si="0"/>
        <v/>
      </c>
      <c r="B83" s="29" t="s">
        <v>6</v>
      </c>
      <c r="C83" s="32"/>
      <c r="D83" s="325"/>
      <c r="E83" s="121"/>
      <c r="F83" s="122"/>
      <c r="G83" s="123" t="s">
        <v>10</v>
      </c>
      <c r="H83" s="144"/>
      <c r="I83" s="39"/>
      <c r="J83" s="54">
        <f t="shared" si="1"/>
        <v>0</v>
      </c>
      <c r="K83" s="27"/>
      <c r="L83" s="27"/>
      <c r="M83" s="27"/>
    </row>
    <row r="84" spans="1:13" s="102" customFormat="1" ht="46.5" customHeight="1" thickBot="1" x14ac:dyDescent="0.35">
      <c r="A84" s="66" t="str">
        <f t="shared" si="0"/>
        <v>п</v>
      </c>
      <c r="B84" s="67" t="s">
        <v>6</v>
      </c>
      <c r="C84" s="31"/>
      <c r="D84" s="116" t="s">
        <v>222</v>
      </c>
      <c r="E84" s="92" t="s">
        <v>36</v>
      </c>
      <c r="F84" s="93" t="s">
        <v>121</v>
      </c>
      <c r="G84" s="94" t="s">
        <v>140</v>
      </c>
      <c r="H84" s="133"/>
      <c r="I84" s="134"/>
      <c r="J84" s="135">
        <f t="shared" si="1"/>
        <v>369171</v>
      </c>
      <c r="K84" s="136">
        <v>369171</v>
      </c>
      <c r="L84" s="136"/>
      <c r="M84" s="136"/>
    </row>
    <row r="85" spans="1:13" s="12" customFormat="1" ht="21" hidden="1" customHeight="1" x14ac:dyDescent="0.25">
      <c r="A85" s="9" t="str">
        <f t="shared" si="0"/>
        <v/>
      </c>
      <c r="B85" s="67" t="s">
        <v>146</v>
      </c>
      <c r="C85" s="31"/>
      <c r="D85" s="84" t="s">
        <v>15</v>
      </c>
      <c r="E85" s="84"/>
      <c r="F85" s="84"/>
      <c r="G85" s="86" t="s">
        <v>359</v>
      </c>
      <c r="H85" s="87"/>
      <c r="I85" s="88"/>
      <c r="J85" s="89">
        <f t="shared" si="1"/>
        <v>0</v>
      </c>
      <c r="K85" s="90">
        <f>K86</f>
        <v>0</v>
      </c>
      <c r="L85" s="90">
        <f>+L87</f>
        <v>0</v>
      </c>
      <c r="M85" s="90">
        <f>+M87</f>
        <v>0</v>
      </c>
    </row>
    <row r="86" spans="1:13" s="12" customFormat="1" ht="21" hidden="1" customHeight="1" x14ac:dyDescent="0.25">
      <c r="A86" s="9" t="str">
        <f t="shared" si="0"/>
        <v/>
      </c>
      <c r="B86" s="67" t="s">
        <v>146</v>
      </c>
      <c r="C86" s="31" t="s">
        <v>8</v>
      </c>
      <c r="D86" s="84" t="s">
        <v>14</v>
      </c>
      <c r="E86" s="84"/>
      <c r="F86" s="84"/>
      <c r="G86" s="86" t="s">
        <v>359</v>
      </c>
      <c r="H86" s="87"/>
      <c r="I86" s="88"/>
      <c r="J86" s="89">
        <f>+K86+L86</f>
        <v>0</v>
      </c>
      <c r="K86" s="90">
        <f>SUM(K87:K88)</f>
        <v>0</v>
      </c>
      <c r="L86" s="90">
        <f>SUM(L87:L88)</f>
        <v>0</v>
      </c>
      <c r="M86" s="90">
        <f>SUM(M87:M88)</f>
        <v>0</v>
      </c>
    </row>
    <row r="87" spans="1:13" s="12" customFormat="1" ht="40.5" hidden="1" customHeight="1" x14ac:dyDescent="0.25">
      <c r="A87" s="9" t="str">
        <f t="shared" si="0"/>
        <v/>
      </c>
      <c r="B87" s="67" t="s">
        <v>146</v>
      </c>
      <c r="C87" s="31"/>
      <c r="D87" s="116" t="s">
        <v>224</v>
      </c>
      <c r="E87" s="92" t="s">
        <v>31</v>
      </c>
      <c r="F87" s="93" t="s">
        <v>121</v>
      </c>
      <c r="G87" s="94" t="s">
        <v>132</v>
      </c>
      <c r="H87" s="133"/>
      <c r="I87" s="134"/>
      <c r="J87" s="135">
        <f t="shared" ref="J87" si="22">+K87+L87</f>
        <v>0</v>
      </c>
      <c r="K87" s="136"/>
      <c r="L87" s="17"/>
      <c r="M87" s="17"/>
    </row>
    <row r="88" spans="1:13" s="12" customFormat="1" ht="30.75" hidden="1" customHeight="1" thickBot="1" x14ac:dyDescent="0.3">
      <c r="A88" s="9" t="str">
        <f t="shared" si="0"/>
        <v/>
      </c>
      <c r="B88" s="10" t="s">
        <v>146</v>
      </c>
      <c r="C88" s="31"/>
      <c r="D88" s="115"/>
      <c r="E88" s="114"/>
      <c r="F88" s="115"/>
      <c r="G88" s="308"/>
      <c r="H88" s="138"/>
      <c r="I88" s="38"/>
      <c r="J88" s="18">
        <f t="shared" si="1"/>
        <v>0</v>
      </c>
      <c r="K88" s="18"/>
      <c r="L88" s="17"/>
      <c r="M88" s="17"/>
    </row>
    <row r="89" spans="1:13" s="103" customFormat="1" ht="87.75" customHeight="1" x14ac:dyDescent="0.3">
      <c r="A89" s="66" t="str">
        <f t="shared" si="0"/>
        <v>п</v>
      </c>
      <c r="B89" s="67"/>
      <c r="C89" s="10"/>
      <c r="D89" s="140"/>
      <c r="E89" s="78"/>
      <c r="F89" s="140"/>
      <c r="G89" s="78"/>
      <c r="H89" s="79" t="s">
        <v>342</v>
      </c>
      <c r="I89" s="80" t="s">
        <v>348</v>
      </c>
      <c r="J89" s="81">
        <f t="shared" si="1"/>
        <v>83269</v>
      </c>
      <c r="K89" s="82">
        <f t="shared" ref="K89:M90" si="23">K90</f>
        <v>83269</v>
      </c>
      <c r="L89" s="82">
        <f t="shared" si="23"/>
        <v>0</v>
      </c>
      <c r="M89" s="82">
        <f t="shared" si="23"/>
        <v>0</v>
      </c>
    </row>
    <row r="90" spans="1:13" s="142" customFormat="1" ht="27" customHeight="1" x14ac:dyDescent="0.35">
      <c r="A90" s="66" t="str">
        <f t="shared" si="0"/>
        <v>п</v>
      </c>
      <c r="B90" s="67" t="s">
        <v>146</v>
      </c>
      <c r="C90" s="31"/>
      <c r="D90" s="84" t="s">
        <v>15</v>
      </c>
      <c r="E90" s="84"/>
      <c r="F90" s="84"/>
      <c r="G90" s="86" t="s">
        <v>359</v>
      </c>
      <c r="H90" s="87"/>
      <c r="I90" s="88"/>
      <c r="J90" s="89">
        <f>+K90+L90</f>
        <v>83269</v>
      </c>
      <c r="K90" s="90">
        <f t="shared" si="23"/>
        <v>83269</v>
      </c>
      <c r="L90" s="90">
        <f t="shared" si="23"/>
        <v>0</v>
      </c>
      <c r="M90" s="90">
        <f t="shared" si="23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146</v>
      </c>
      <c r="C91" s="31"/>
      <c r="D91" s="84" t="s">
        <v>14</v>
      </c>
      <c r="E91" s="84"/>
      <c r="F91" s="84"/>
      <c r="G91" s="86" t="s">
        <v>359</v>
      </c>
      <c r="H91" s="87"/>
      <c r="I91" s="88"/>
      <c r="J91" s="89">
        <f>+K91+L91</f>
        <v>83269</v>
      </c>
      <c r="K91" s="90">
        <f>SUM(K92:K96)-K96</f>
        <v>83269</v>
      </c>
      <c r="L91" s="90">
        <f>SUM(L92:L96)-L96</f>
        <v>0</v>
      </c>
      <c r="M91" s="90">
        <f>SUM(M92:M96)-M96</f>
        <v>0</v>
      </c>
    </row>
    <row r="92" spans="1:13" s="102" customFormat="1" ht="37.5" x14ac:dyDescent="0.3">
      <c r="A92" s="66" t="str">
        <f t="shared" si="0"/>
        <v>п</v>
      </c>
      <c r="B92" s="67" t="s">
        <v>146</v>
      </c>
      <c r="C92" s="31"/>
      <c r="D92" s="116" t="s">
        <v>37</v>
      </c>
      <c r="E92" s="92" t="s">
        <v>38</v>
      </c>
      <c r="F92" s="116" t="s">
        <v>129</v>
      </c>
      <c r="G92" s="94" t="s">
        <v>133</v>
      </c>
      <c r="H92" s="95"/>
      <c r="I92" s="96"/>
      <c r="J92" s="97">
        <f t="shared" si="1"/>
        <v>36974</v>
      </c>
      <c r="K92" s="98">
        <v>36974</v>
      </c>
      <c r="L92" s="98"/>
      <c r="M92" s="98"/>
    </row>
    <row r="93" spans="1:13" s="102" customFormat="1" ht="27.75" hidden="1" customHeight="1" x14ac:dyDescent="0.3">
      <c r="A93" s="66" t="str">
        <f t="shared" si="0"/>
        <v/>
      </c>
      <c r="B93" s="67" t="s">
        <v>146</v>
      </c>
      <c r="C93" s="31"/>
      <c r="D93" s="263" t="s">
        <v>61</v>
      </c>
      <c r="E93" s="114">
        <v>9770</v>
      </c>
      <c r="F93" s="263" t="s">
        <v>125</v>
      </c>
      <c r="G93" s="308" t="s">
        <v>63</v>
      </c>
      <c r="H93" s="133"/>
      <c r="I93" s="134"/>
      <c r="J93" s="97">
        <f t="shared" si="1"/>
        <v>0</v>
      </c>
      <c r="K93" s="136">
        <f>247115-247115</f>
        <v>0</v>
      </c>
      <c r="L93" s="136"/>
      <c r="M93" s="136"/>
    </row>
    <row r="94" spans="1:13" s="102" customFormat="1" ht="58.5" customHeight="1" thickBot="1" x14ac:dyDescent="0.35">
      <c r="A94" s="66" t="str">
        <f t="shared" si="0"/>
        <v>п</v>
      </c>
      <c r="B94" s="67" t="s">
        <v>146</v>
      </c>
      <c r="C94" s="31"/>
      <c r="D94" s="115" t="s">
        <v>357</v>
      </c>
      <c r="E94" s="114">
        <v>3114</v>
      </c>
      <c r="F94" s="115" t="s">
        <v>129</v>
      </c>
      <c r="G94" s="141" t="s">
        <v>358</v>
      </c>
      <c r="H94" s="133"/>
      <c r="I94" s="134"/>
      <c r="J94" s="97">
        <f t="shared" si="1"/>
        <v>46295</v>
      </c>
      <c r="K94" s="136">
        <v>46295</v>
      </c>
      <c r="L94" s="136"/>
      <c r="M94" s="136"/>
    </row>
    <row r="95" spans="1:13" s="102" customFormat="1" ht="98.25" hidden="1" customHeight="1" x14ac:dyDescent="0.3">
      <c r="A95" s="66" t="str">
        <f t="shared" si="0"/>
        <v/>
      </c>
      <c r="B95" s="67" t="s">
        <v>146</v>
      </c>
      <c r="C95" s="31"/>
      <c r="D95" s="115" t="s">
        <v>247</v>
      </c>
      <c r="E95" s="114">
        <v>6083</v>
      </c>
      <c r="F95" s="115" t="s">
        <v>104</v>
      </c>
      <c r="G95" s="141" t="s">
        <v>248</v>
      </c>
      <c r="H95" s="133"/>
      <c r="I95" s="134"/>
      <c r="J95" s="97">
        <f t="shared" ref="J95:J96" si="24">+K95+L95</f>
        <v>0</v>
      </c>
      <c r="K95" s="136"/>
      <c r="L95" s="136"/>
      <c r="M95" s="136"/>
    </row>
    <row r="96" spans="1:13" s="356" customFormat="1" ht="24" hidden="1" customHeight="1" thickBot="1" x14ac:dyDescent="0.3">
      <c r="A96" s="66" t="str">
        <f t="shared" si="0"/>
        <v/>
      </c>
      <c r="B96" s="67" t="s">
        <v>146</v>
      </c>
      <c r="C96" s="349"/>
      <c r="D96" s="350"/>
      <c r="E96" s="351"/>
      <c r="F96" s="351"/>
      <c r="G96" s="352" t="s">
        <v>10</v>
      </c>
      <c r="H96" s="353"/>
      <c r="I96" s="354"/>
      <c r="J96" s="355">
        <f t="shared" si="24"/>
        <v>0</v>
      </c>
      <c r="K96" s="355"/>
      <c r="L96" s="355"/>
      <c r="M96" s="355"/>
    </row>
    <row r="97" spans="1:13" s="102" customFormat="1" ht="38.25" customHeight="1" x14ac:dyDescent="0.3">
      <c r="A97" s="66" t="str">
        <f t="shared" si="0"/>
        <v>п</v>
      </c>
      <c r="B97" s="67"/>
      <c r="C97" s="10"/>
      <c r="D97" s="77"/>
      <c r="E97" s="76"/>
      <c r="F97" s="77"/>
      <c r="G97" s="78"/>
      <c r="H97" s="79" t="s">
        <v>203</v>
      </c>
      <c r="I97" s="80" t="s">
        <v>217</v>
      </c>
      <c r="J97" s="81">
        <f>+K97+L97</f>
        <v>12112877</v>
      </c>
      <c r="K97" s="82">
        <f>+K98+K127</f>
        <v>11275352</v>
      </c>
      <c r="L97" s="83">
        <f>+L98+L127</f>
        <v>837525</v>
      </c>
      <c r="M97" s="83">
        <f>+M98+M127</f>
        <v>635008</v>
      </c>
    </row>
    <row r="98" spans="1:13" s="103" customFormat="1" ht="19.5" x14ac:dyDescent="0.3">
      <c r="A98" s="66" t="str">
        <f t="shared" si="0"/>
        <v>п</v>
      </c>
      <c r="B98" s="67" t="s">
        <v>148</v>
      </c>
      <c r="C98" s="10"/>
      <c r="D98" s="84" t="s">
        <v>40</v>
      </c>
      <c r="E98" s="85"/>
      <c r="F98" s="85"/>
      <c r="G98" s="86" t="s">
        <v>362</v>
      </c>
      <c r="H98" s="87"/>
      <c r="I98" s="88"/>
      <c r="J98" s="89">
        <f>+K98+L98</f>
        <v>12112877</v>
      </c>
      <c r="K98" s="90">
        <f>K99</f>
        <v>11275352</v>
      </c>
      <c r="L98" s="90">
        <f>L99</f>
        <v>837525</v>
      </c>
      <c r="M98" s="90">
        <f>M99</f>
        <v>635008</v>
      </c>
    </row>
    <row r="99" spans="1:13" s="103" customFormat="1" ht="19.5" x14ac:dyDescent="0.3">
      <c r="A99" s="66" t="str">
        <f t="shared" si="0"/>
        <v>п</v>
      </c>
      <c r="B99" s="67" t="s">
        <v>148</v>
      </c>
      <c r="C99" s="10"/>
      <c r="D99" s="84" t="s">
        <v>41</v>
      </c>
      <c r="E99" s="85"/>
      <c r="F99" s="85"/>
      <c r="G99" s="86" t="s">
        <v>362</v>
      </c>
      <c r="H99" s="87"/>
      <c r="I99" s="88"/>
      <c r="J99" s="89">
        <f>+K99+L99</f>
        <v>12112877</v>
      </c>
      <c r="K99" s="90">
        <f>SUM(K100:K129)-K105-K106-K115-K102-K126-K111-K103-K107-K109</f>
        <v>11275352</v>
      </c>
      <c r="L99" s="90">
        <f t="shared" ref="L99:M99" si="25">SUM(L100:L129)-L105-L106-L115-L102-L126-L111-L103-L107-L109</f>
        <v>837525</v>
      </c>
      <c r="M99" s="90">
        <f t="shared" si="25"/>
        <v>635008</v>
      </c>
    </row>
    <row r="100" spans="1:13" s="12" customFormat="1" ht="56.25" hidden="1" x14ac:dyDescent="0.25">
      <c r="A100" s="9" t="str">
        <f t="shared" si="0"/>
        <v/>
      </c>
      <c r="B100" s="10" t="s">
        <v>148</v>
      </c>
      <c r="C100" s="10"/>
      <c r="D100" s="116" t="s">
        <v>107</v>
      </c>
      <c r="E100" s="92" t="s">
        <v>75</v>
      </c>
      <c r="F100" s="93" t="s">
        <v>76</v>
      </c>
      <c r="G100" s="94" t="s">
        <v>77</v>
      </c>
      <c r="H100" s="133"/>
      <c r="I100" s="38"/>
      <c r="J100" s="53">
        <f t="shared" ref="J100:J163" si="26">+K100+L100</f>
        <v>0</v>
      </c>
      <c r="K100" s="18"/>
      <c r="L100" s="18"/>
      <c r="M100" s="18"/>
    </row>
    <row r="101" spans="1:13" s="102" customFormat="1" x14ac:dyDescent="0.3">
      <c r="A101" s="66" t="str">
        <f>IF(J101=0,"","п")</f>
        <v>п</v>
      </c>
      <c r="B101" s="67" t="s">
        <v>148</v>
      </c>
      <c r="C101" s="10"/>
      <c r="D101" s="116" t="s">
        <v>42</v>
      </c>
      <c r="E101" s="92">
        <v>1010</v>
      </c>
      <c r="F101" s="93" t="s">
        <v>126</v>
      </c>
      <c r="G101" s="94" t="s">
        <v>43</v>
      </c>
      <c r="H101" s="133"/>
      <c r="I101" s="134"/>
      <c r="J101" s="135">
        <f>+K101+L101</f>
        <v>183000</v>
      </c>
      <c r="K101" s="136">
        <v>183000</v>
      </c>
      <c r="L101" s="136"/>
      <c r="M101" s="136"/>
    </row>
    <row r="102" spans="1:13" s="26" customFormat="1" ht="44.25" hidden="1" customHeight="1" x14ac:dyDescent="0.3">
      <c r="A102" s="9" t="str">
        <f t="shared" si="0"/>
        <v/>
      </c>
      <c r="B102" s="67" t="s">
        <v>148</v>
      </c>
      <c r="C102" s="29"/>
      <c r="D102" s="325"/>
      <c r="E102" s="121"/>
      <c r="F102" s="122"/>
      <c r="G102" s="143" t="s">
        <v>10</v>
      </c>
      <c r="H102" s="144"/>
      <c r="I102" s="145"/>
      <c r="J102" s="146">
        <f t="shared" si="26"/>
        <v>0</v>
      </c>
      <c r="K102" s="147"/>
      <c r="L102" s="18"/>
      <c r="M102" s="18"/>
    </row>
    <row r="103" spans="1:13" s="139" customFormat="1" ht="37.5" x14ac:dyDescent="0.3">
      <c r="A103" s="66" t="str">
        <f>IF(J103=0,"","п")</f>
        <v>п</v>
      </c>
      <c r="B103" s="67" t="s">
        <v>148</v>
      </c>
      <c r="C103" s="29"/>
      <c r="D103" s="325"/>
      <c r="E103" s="121"/>
      <c r="F103" s="122"/>
      <c r="G103" s="143" t="s">
        <v>206</v>
      </c>
      <c r="H103" s="144"/>
      <c r="I103" s="145"/>
      <c r="J103" s="146">
        <f>+K103+L103</f>
        <v>183000</v>
      </c>
      <c r="K103" s="147">
        <v>183000</v>
      </c>
      <c r="L103" s="136"/>
      <c r="M103" s="136"/>
    </row>
    <row r="104" spans="1:13" s="102" customFormat="1" ht="42" customHeight="1" x14ac:dyDescent="0.3">
      <c r="A104" s="66" t="str">
        <f t="shared" si="0"/>
        <v>п</v>
      </c>
      <c r="B104" s="67" t="s">
        <v>148</v>
      </c>
      <c r="C104" s="10"/>
      <c r="D104" s="116" t="s">
        <v>207</v>
      </c>
      <c r="E104" s="92">
        <v>1021</v>
      </c>
      <c r="F104" s="93" t="s">
        <v>127</v>
      </c>
      <c r="G104" s="94" t="s">
        <v>271</v>
      </c>
      <c r="H104" s="133"/>
      <c r="I104" s="134"/>
      <c r="J104" s="135">
        <f t="shared" si="26"/>
        <v>10883110</v>
      </c>
      <c r="K104" s="136">
        <f>10000000+300000+483500</f>
        <v>10783500</v>
      </c>
      <c r="L104" s="136">
        <v>99610</v>
      </c>
      <c r="M104" s="136">
        <v>99610</v>
      </c>
    </row>
    <row r="105" spans="1:13" s="26" customFormat="1" ht="37.5" hidden="1" x14ac:dyDescent="0.3">
      <c r="A105" s="9" t="str">
        <f t="shared" si="0"/>
        <v/>
      </c>
      <c r="B105" s="10" t="s">
        <v>148</v>
      </c>
      <c r="C105" s="10"/>
      <c r="D105" s="325"/>
      <c r="E105" s="121"/>
      <c r="F105" s="122"/>
      <c r="G105" s="143" t="s">
        <v>12</v>
      </c>
      <c r="H105" s="148"/>
      <c r="I105" s="39"/>
      <c r="J105" s="27">
        <f t="shared" si="26"/>
        <v>0</v>
      </c>
      <c r="K105" s="27"/>
      <c r="L105" s="27"/>
      <c r="M105" s="27"/>
    </row>
    <row r="106" spans="1:13" s="26" customFormat="1" hidden="1" x14ac:dyDescent="0.3">
      <c r="A106" s="9" t="str">
        <f t="shared" si="0"/>
        <v/>
      </c>
      <c r="B106" s="10" t="s">
        <v>148</v>
      </c>
      <c r="C106" s="29"/>
      <c r="D106" s="325"/>
      <c r="E106" s="121"/>
      <c r="F106" s="122"/>
      <c r="G106" s="143" t="s">
        <v>10</v>
      </c>
      <c r="H106" s="144"/>
      <c r="I106" s="39"/>
      <c r="J106" s="54">
        <f t="shared" si="26"/>
        <v>0</v>
      </c>
      <c r="K106" s="60"/>
      <c r="L106" s="27"/>
      <c r="M106" s="27"/>
    </row>
    <row r="107" spans="1:13" s="139" customFormat="1" ht="37.5" x14ac:dyDescent="0.3">
      <c r="A107" s="66" t="str">
        <f t="shared" si="0"/>
        <v>п</v>
      </c>
      <c r="B107" s="67" t="s">
        <v>148</v>
      </c>
      <c r="C107" s="29"/>
      <c r="D107" s="325"/>
      <c r="E107" s="121"/>
      <c r="F107" s="122"/>
      <c r="G107" s="143" t="s">
        <v>225</v>
      </c>
      <c r="H107" s="144"/>
      <c r="I107" s="145"/>
      <c r="J107" s="146">
        <f t="shared" si="26"/>
        <v>300000</v>
      </c>
      <c r="K107" s="147">
        <v>300000</v>
      </c>
      <c r="L107" s="136"/>
      <c r="M107" s="136"/>
    </row>
    <row r="108" spans="1:13" s="139" customFormat="1" ht="37.5" hidden="1" x14ac:dyDescent="0.3">
      <c r="A108" s="66" t="str">
        <f t="shared" si="0"/>
        <v/>
      </c>
      <c r="B108" s="67" t="s">
        <v>148</v>
      </c>
      <c r="C108" s="29"/>
      <c r="D108" s="116" t="s">
        <v>237</v>
      </c>
      <c r="E108" s="92">
        <v>1061</v>
      </c>
      <c r="F108" s="93" t="s">
        <v>127</v>
      </c>
      <c r="G108" s="94" t="s">
        <v>209</v>
      </c>
      <c r="H108" s="133"/>
      <c r="I108" s="134"/>
      <c r="J108" s="146">
        <f t="shared" si="26"/>
        <v>0</v>
      </c>
      <c r="K108" s="136"/>
      <c r="L108" s="136"/>
      <c r="M108" s="136"/>
    </row>
    <row r="109" spans="1:13" s="139" customFormat="1" ht="37.5" hidden="1" x14ac:dyDescent="0.3">
      <c r="A109" s="316" t="str">
        <f t="shared" si="0"/>
        <v/>
      </c>
      <c r="B109" s="317" t="s">
        <v>148</v>
      </c>
      <c r="C109" s="318"/>
      <c r="D109" s="325"/>
      <c r="E109" s="121"/>
      <c r="F109" s="122"/>
      <c r="G109" s="143" t="s">
        <v>238</v>
      </c>
      <c r="H109" s="144"/>
      <c r="I109" s="145"/>
      <c r="J109" s="146">
        <f t="shared" si="26"/>
        <v>0</v>
      </c>
      <c r="K109" s="147"/>
      <c r="L109" s="147"/>
      <c r="M109" s="147"/>
    </row>
    <row r="110" spans="1:13" s="12" customFormat="1" ht="59.25" hidden="1" customHeight="1" x14ac:dyDescent="0.25">
      <c r="A110" s="9" t="str">
        <f t="shared" si="0"/>
        <v/>
      </c>
      <c r="B110" s="10" t="s">
        <v>148</v>
      </c>
      <c r="C110" s="10"/>
      <c r="D110" s="116" t="s">
        <v>210</v>
      </c>
      <c r="E110" s="92">
        <v>1070</v>
      </c>
      <c r="F110" s="93" t="s">
        <v>100</v>
      </c>
      <c r="G110" s="94" t="s">
        <v>101</v>
      </c>
      <c r="H110" s="133"/>
      <c r="I110" s="38"/>
      <c r="J110" s="53">
        <f t="shared" si="26"/>
        <v>0</v>
      </c>
      <c r="K110" s="18"/>
      <c r="L110" s="18"/>
      <c r="M110" s="18"/>
    </row>
    <row r="111" spans="1:13" s="26" customFormat="1" ht="42.75" hidden="1" customHeight="1" x14ac:dyDescent="0.3">
      <c r="A111" s="9" t="str">
        <f t="shared" ref="A111:A208" si="27">IF(J111=0,"","п")</f>
        <v/>
      </c>
      <c r="B111" s="29" t="s">
        <v>148</v>
      </c>
      <c r="C111" s="29"/>
      <c r="D111" s="325"/>
      <c r="E111" s="121"/>
      <c r="F111" s="122"/>
      <c r="G111" s="143" t="s">
        <v>10</v>
      </c>
      <c r="H111" s="144"/>
      <c r="I111" s="39"/>
      <c r="J111" s="54">
        <f t="shared" si="26"/>
        <v>0</v>
      </c>
      <c r="K111" s="27"/>
      <c r="L111" s="27"/>
      <c r="M111" s="27"/>
    </row>
    <row r="112" spans="1:13" s="102" customFormat="1" ht="83.25" hidden="1" customHeight="1" x14ac:dyDescent="0.3">
      <c r="A112" s="66" t="str">
        <f>IF(J112=0,"","п")</f>
        <v/>
      </c>
      <c r="B112" s="67" t="s">
        <v>148</v>
      </c>
      <c r="C112" s="10"/>
      <c r="D112" s="116" t="s">
        <v>214</v>
      </c>
      <c r="E112" s="92">
        <v>1200</v>
      </c>
      <c r="F112" s="93" t="s">
        <v>160</v>
      </c>
      <c r="G112" s="94" t="s">
        <v>215</v>
      </c>
      <c r="H112" s="133"/>
      <c r="I112" s="134"/>
      <c r="J112" s="135">
        <f>+K112+L112</f>
        <v>0</v>
      </c>
      <c r="K112" s="136"/>
      <c r="L112" s="136"/>
      <c r="M112" s="136"/>
    </row>
    <row r="113" spans="1:13" s="139" customFormat="1" ht="75" hidden="1" x14ac:dyDescent="0.3">
      <c r="A113" s="66" t="str">
        <f t="shared" ref="A113" si="28">IF(J113=0,"","п")</f>
        <v/>
      </c>
      <c r="B113" s="67" t="s">
        <v>148</v>
      </c>
      <c r="C113" s="10"/>
      <c r="D113" s="116" t="s">
        <v>233</v>
      </c>
      <c r="E113" s="92">
        <v>1210</v>
      </c>
      <c r="F113" s="93" t="s">
        <v>160</v>
      </c>
      <c r="G113" s="94" t="s">
        <v>234</v>
      </c>
      <c r="H113" s="148"/>
      <c r="I113" s="145"/>
      <c r="J113" s="136">
        <f t="shared" ref="J113:J116" si="29">+K113+L113</f>
        <v>0</v>
      </c>
      <c r="K113" s="136"/>
      <c r="L113" s="136"/>
      <c r="M113" s="136"/>
    </row>
    <row r="114" spans="1:13" s="12" customFormat="1" ht="42" hidden="1" customHeight="1" x14ac:dyDescent="0.25">
      <c r="A114" s="9" t="str">
        <f t="shared" si="27"/>
        <v/>
      </c>
      <c r="B114" s="10" t="s">
        <v>148</v>
      </c>
      <c r="C114" s="10"/>
      <c r="D114" s="116" t="s">
        <v>212</v>
      </c>
      <c r="E114" s="92">
        <v>1151</v>
      </c>
      <c r="F114" s="93" t="s">
        <v>160</v>
      </c>
      <c r="G114" s="94" t="s">
        <v>213</v>
      </c>
      <c r="H114" s="133"/>
      <c r="I114" s="38"/>
      <c r="J114" s="136">
        <f t="shared" si="29"/>
        <v>0</v>
      </c>
      <c r="K114" s="136"/>
      <c r="L114" s="136"/>
      <c r="M114" s="136"/>
    </row>
    <row r="115" spans="1:13" s="26" customFormat="1" ht="42.75" hidden="1" customHeight="1" x14ac:dyDescent="0.3">
      <c r="A115" s="9" t="str">
        <f t="shared" si="27"/>
        <v/>
      </c>
      <c r="B115" s="29" t="s">
        <v>148</v>
      </c>
      <c r="C115" s="29"/>
      <c r="D115" s="325"/>
      <c r="E115" s="121"/>
      <c r="F115" s="122"/>
      <c r="G115" s="143" t="s">
        <v>10</v>
      </c>
      <c r="H115" s="144"/>
      <c r="I115" s="39"/>
      <c r="J115" s="136">
        <f t="shared" si="29"/>
        <v>0</v>
      </c>
      <c r="K115" s="147"/>
      <c r="L115" s="147"/>
      <c r="M115" s="147"/>
    </row>
    <row r="116" spans="1:13" s="26" customFormat="1" ht="93" hidden="1" customHeight="1" x14ac:dyDescent="0.3">
      <c r="A116" s="9" t="str">
        <f t="shared" si="27"/>
        <v/>
      </c>
      <c r="B116" s="118" t="s">
        <v>148</v>
      </c>
      <c r="C116" s="29"/>
      <c r="D116" s="116" t="s">
        <v>236</v>
      </c>
      <c r="E116" s="92">
        <v>1154</v>
      </c>
      <c r="F116" s="93" t="s">
        <v>160</v>
      </c>
      <c r="G116" s="94" t="s">
        <v>235</v>
      </c>
      <c r="H116" s="133"/>
      <c r="I116" s="38"/>
      <c r="J116" s="136">
        <f t="shared" si="29"/>
        <v>0</v>
      </c>
      <c r="K116" s="136"/>
      <c r="L116" s="136"/>
      <c r="M116" s="136"/>
    </row>
    <row r="117" spans="1:13" s="12" customFormat="1" ht="42.75" hidden="1" customHeight="1" x14ac:dyDescent="0.25">
      <c r="A117" s="9" t="str">
        <f t="shared" si="27"/>
        <v/>
      </c>
      <c r="B117" s="10" t="s">
        <v>148</v>
      </c>
      <c r="C117" s="10"/>
      <c r="D117" s="116" t="s">
        <v>288</v>
      </c>
      <c r="E117" s="92" t="s">
        <v>289</v>
      </c>
      <c r="F117" s="93" t="s">
        <v>160</v>
      </c>
      <c r="G117" s="94" t="s">
        <v>290</v>
      </c>
      <c r="H117" s="133"/>
      <c r="I117" s="38"/>
      <c r="J117" s="135">
        <f t="shared" si="26"/>
        <v>0</v>
      </c>
      <c r="K117" s="136"/>
      <c r="L117" s="136"/>
      <c r="M117" s="136"/>
    </row>
    <row r="118" spans="1:13" s="102" customFormat="1" ht="24" customHeight="1" x14ac:dyDescent="0.3">
      <c r="A118" s="66" t="str">
        <f t="shared" si="27"/>
        <v>п</v>
      </c>
      <c r="B118" s="67" t="s">
        <v>148</v>
      </c>
      <c r="C118" s="10"/>
      <c r="D118" s="116" t="s">
        <v>211</v>
      </c>
      <c r="E118" s="92">
        <v>1142</v>
      </c>
      <c r="F118" s="93" t="s">
        <v>160</v>
      </c>
      <c r="G118" s="94" t="s">
        <v>161</v>
      </c>
      <c r="H118" s="133"/>
      <c r="I118" s="134"/>
      <c r="J118" s="135">
        <f t="shared" si="26"/>
        <v>27150</v>
      </c>
      <c r="K118" s="136">
        <v>27150</v>
      </c>
      <c r="L118" s="136"/>
      <c r="M118" s="136"/>
    </row>
    <row r="119" spans="1:13" s="102" customFormat="1" ht="105" customHeight="1" x14ac:dyDescent="0.3">
      <c r="A119" s="66" t="str">
        <f t="shared" si="27"/>
        <v>п</v>
      </c>
      <c r="B119" s="67" t="s">
        <v>148</v>
      </c>
      <c r="C119" s="10"/>
      <c r="D119" s="116" t="s">
        <v>382</v>
      </c>
      <c r="E119" s="92" t="s">
        <v>383</v>
      </c>
      <c r="F119" s="93" t="s">
        <v>160</v>
      </c>
      <c r="G119" s="94" t="s">
        <v>384</v>
      </c>
      <c r="H119" s="133"/>
      <c r="I119" s="134"/>
      <c r="J119" s="135">
        <f t="shared" si="26"/>
        <v>26000</v>
      </c>
      <c r="K119" s="136"/>
      <c r="L119" s="136">
        <v>26000</v>
      </c>
      <c r="M119" s="136">
        <v>26000</v>
      </c>
    </row>
    <row r="120" spans="1:13" s="102" customFormat="1" ht="105.75" customHeight="1" x14ac:dyDescent="0.3">
      <c r="A120" s="66" t="str">
        <f t="shared" si="27"/>
        <v>п</v>
      </c>
      <c r="B120" s="67" t="s">
        <v>148</v>
      </c>
      <c r="C120" s="10"/>
      <c r="D120" s="116" t="s">
        <v>385</v>
      </c>
      <c r="E120" s="92" t="s">
        <v>386</v>
      </c>
      <c r="F120" s="93" t="s">
        <v>160</v>
      </c>
      <c r="G120" s="94" t="s">
        <v>387</v>
      </c>
      <c r="H120" s="133"/>
      <c r="I120" s="134"/>
      <c r="J120" s="135">
        <f t="shared" si="26"/>
        <v>234000</v>
      </c>
      <c r="K120" s="136"/>
      <c r="L120" s="136">
        <v>234000</v>
      </c>
      <c r="M120" s="136">
        <v>234000</v>
      </c>
    </row>
    <row r="121" spans="1:13" s="102" customFormat="1" ht="123" customHeight="1" x14ac:dyDescent="0.3">
      <c r="A121" s="66" t="str">
        <f t="shared" si="27"/>
        <v>п</v>
      </c>
      <c r="B121" s="67" t="s">
        <v>148</v>
      </c>
      <c r="C121" s="10"/>
      <c r="D121" s="116" t="s">
        <v>317</v>
      </c>
      <c r="E121" s="92">
        <v>1291</v>
      </c>
      <c r="F121" s="93" t="s">
        <v>160</v>
      </c>
      <c r="G121" s="94" t="s">
        <v>315</v>
      </c>
      <c r="H121" s="133"/>
      <c r="I121" s="134"/>
      <c r="J121" s="135">
        <f t="shared" si="26"/>
        <v>22502</v>
      </c>
      <c r="K121" s="136">
        <v>15002</v>
      </c>
      <c r="L121" s="136">
        <v>7500</v>
      </c>
      <c r="M121" s="136">
        <v>7500</v>
      </c>
    </row>
    <row r="122" spans="1:13" s="102" customFormat="1" ht="101.25" customHeight="1" x14ac:dyDescent="0.3">
      <c r="A122" s="66" t="str">
        <f t="shared" si="27"/>
        <v>п</v>
      </c>
      <c r="B122" s="67" t="s">
        <v>148</v>
      </c>
      <c r="C122" s="10"/>
      <c r="D122" s="116" t="s">
        <v>318</v>
      </c>
      <c r="E122" s="92">
        <v>1292</v>
      </c>
      <c r="F122" s="93" t="s">
        <v>160</v>
      </c>
      <c r="G122" s="94" t="s">
        <v>316</v>
      </c>
      <c r="H122" s="133"/>
      <c r="I122" s="134"/>
      <c r="J122" s="135">
        <f t="shared" si="26"/>
        <v>202517</v>
      </c>
      <c r="K122" s="136"/>
      <c r="L122" s="136">
        <f>135017+67500</f>
        <v>202517</v>
      </c>
      <c r="M122" s="136"/>
    </row>
    <row r="123" spans="1:13" s="102" customFormat="1" ht="82.5" customHeight="1" x14ac:dyDescent="0.3">
      <c r="A123" s="66" t="str">
        <f t="shared" si="27"/>
        <v>п</v>
      </c>
      <c r="B123" s="67" t="s">
        <v>148</v>
      </c>
      <c r="C123" s="10"/>
      <c r="D123" s="116" t="s">
        <v>45</v>
      </c>
      <c r="E123" s="120" t="s">
        <v>46</v>
      </c>
      <c r="F123" s="93" t="s">
        <v>129</v>
      </c>
      <c r="G123" s="94" t="s">
        <v>137</v>
      </c>
      <c r="H123" s="95"/>
      <c r="I123" s="96"/>
      <c r="J123" s="97">
        <f t="shared" si="26"/>
        <v>150000</v>
      </c>
      <c r="K123" s="98">
        <f>150000</f>
        <v>150000</v>
      </c>
      <c r="L123" s="99"/>
      <c r="M123" s="99"/>
    </row>
    <row r="124" spans="1:13" s="12" customFormat="1" ht="64.5" customHeight="1" x14ac:dyDescent="0.25">
      <c r="A124" s="9" t="str">
        <f t="shared" si="27"/>
        <v>п</v>
      </c>
      <c r="B124" s="67" t="s">
        <v>148</v>
      </c>
      <c r="C124" s="10"/>
      <c r="D124" s="116" t="s">
        <v>44</v>
      </c>
      <c r="E124" s="92" t="s">
        <v>32</v>
      </c>
      <c r="F124" s="93" t="s">
        <v>121</v>
      </c>
      <c r="G124" s="94" t="s">
        <v>352</v>
      </c>
      <c r="H124" s="95"/>
      <c r="I124" s="96"/>
      <c r="J124" s="97">
        <f t="shared" si="26"/>
        <v>116700</v>
      </c>
      <c r="K124" s="98">
        <v>116700</v>
      </c>
      <c r="L124" s="15"/>
      <c r="M124" s="15"/>
    </row>
    <row r="125" spans="1:13" s="102" customFormat="1" hidden="1" x14ac:dyDescent="0.3">
      <c r="A125" s="66" t="str">
        <f t="shared" si="27"/>
        <v/>
      </c>
      <c r="B125" s="67" t="s">
        <v>148</v>
      </c>
      <c r="C125" s="10"/>
      <c r="D125" s="334" t="s">
        <v>228</v>
      </c>
      <c r="E125" s="335">
        <v>9770</v>
      </c>
      <c r="F125" s="336" t="s">
        <v>125</v>
      </c>
      <c r="G125" s="337" t="s">
        <v>63</v>
      </c>
      <c r="H125" s="338"/>
      <c r="I125" s="339"/>
      <c r="J125" s="340">
        <f t="shared" si="26"/>
        <v>0</v>
      </c>
      <c r="K125" s="341"/>
      <c r="L125" s="341">
        <f>684000+348000-348000-684000</f>
        <v>0</v>
      </c>
      <c r="M125" s="341">
        <f>684000+348000-348000-684000</f>
        <v>0</v>
      </c>
    </row>
    <row r="126" spans="1:13" s="26" customFormat="1" ht="42.75" hidden="1" customHeight="1" x14ac:dyDescent="0.3">
      <c r="A126" s="9" t="str">
        <f t="shared" si="27"/>
        <v/>
      </c>
      <c r="B126" s="29" t="s">
        <v>148</v>
      </c>
      <c r="C126" s="29"/>
      <c r="D126" s="325"/>
      <c r="E126" s="121"/>
      <c r="F126" s="122"/>
      <c r="G126" s="143" t="s">
        <v>10</v>
      </c>
      <c r="H126" s="144"/>
      <c r="I126" s="39"/>
      <c r="J126" s="146">
        <f t="shared" si="26"/>
        <v>0</v>
      </c>
      <c r="K126" s="147"/>
      <c r="L126" s="147"/>
      <c r="M126" s="147"/>
    </row>
    <row r="127" spans="1:13" s="12" customFormat="1" ht="37.5" hidden="1" customHeight="1" x14ac:dyDescent="0.25">
      <c r="A127" s="9" t="str">
        <f t="shared" si="27"/>
        <v/>
      </c>
      <c r="B127" s="10" t="s">
        <v>148</v>
      </c>
      <c r="C127" s="10"/>
      <c r="D127" s="129"/>
      <c r="E127" s="104"/>
      <c r="F127" s="104"/>
      <c r="G127" s="105"/>
      <c r="H127" s="265"/>
      <c r="I127" s="40"/>
      <c r="J127" s="163">
        <f t="shared" si="26"/>
        <v>0</v>
      </c>
      <c r="K127" s="163"/>
      <c r="L127" s="163"/>
      <c r="M127" s="163"/>
    </row>
    <row r="128" spans="1:13" s="12" customFormat="1" ht="19.5" thickBot="1" x14ac:dyDescent="0.3">
      <c r="A128" s="9" t="str">
        <f t="shared" si="27"/>
        <v>п</v>
      </c>
      <c r="B128" s="10" t="s">
        <v>148</v>
      </c>
      <c r="C128" s="10"/>
      <c r="D128" s="116" t="s">
        <v>368</v>
      </c>
      <c r="E128" s="92">
        <v>1300</v>
      </c>
      <c r="F128" s="93" t="s">
        <v>160</v>
      </c>
      <c r="G128" s="94" t="s">
        <v>153</v>
      </c>
      <c r="H128" s="138"/>
      <c r="I128" s="38"/>
      <c r="J128" s="136">
        <f t="shared" si="26"/>
        <v>267898</v>
      </c>
      <c r="K128" s="136"/>
      <c r="L128" s="136">
        <v>267898</v>
      </c>
      <c r="M128" s="136">
        <v>267898</v>
      </c>
    </row>
    <row r="129" spans="1:13" s="26" customFormat="1" ht="19.5" hidden="1" thickBot="1" x14ac:dyDescent="0.35">
      <c r="A129" s="9" t="str">
        <f t="shared" si="27"/>
        <v/>
      </c>
      <c r="B129" s="29" t="s">
        <v>148</v>
      </c>
      <c r="C129" s="29"/>
      <c r="D129" s="326"/>
      <c r="E129" s="266"/>
      <c r="F129" s="274"/>
      <c r="G129" s="310"/>
      <c r="H129" s="266"/>
      <c r="I129" s="42"/>
      <c r="J129" s="28">
        <f t="shared" si="26"/>
        <v>0</v>
      </c>
      <c r="K129" s="28"/>
      <c r="L129" s="28">
        <f>600000-600000</f>
        <v>0</v>
      </c>
      <c r="M129" s="28">
        <f>600000-600000</f>
        <v>0</v>
      </c>
    </row>
    <row r="130" spans="1:13" s="102" customFormat="1" ht="100.5" hidden="1" customHeight="1" x14ac:dyDescent="0.3">
      <c r="A130" s="66" t="str">
        <f t="shared" si="27"/>
        <v/>
      </c>
      <c r="B130" s="67"/>
      <c r="C130" s="10"/>
      <c r="D130" s="77"/>
      <c r="E130" s="76"/>
      <c r="F130" s="77"/>
      <c r="G130" s="78"/>
      <c r="H130" s="78" t="s">
        <v>185</v>
      </c>
      <c r="I130" s="80" t="s">
        <v>102</v>
      </c>
      <c r="J130" s="82">
        <f>+K130+L130</f>
        <v>0</v>
      </c>
      <c r="K130" s="82">
        <f>+K131+K136+K145+K141</f>
        <v>0</v>
      </c>
      <c r="L130" s="82">
        <f>+L131+L136+L145+L141</f>
        <v>0</v>
      </c>
      <c r="M130" s="82">
        <f>+M131+M136+M145+M141</f>
        <v>0</v>
      </c>
    </row>
    <row r="131" spans="1:13" s="19" customFormat="1" ht="24" hidden="1" customHeight="1" x14ac:dyDescent="0.25">
      <c r="A131" s="9" t="str">
        <f t="shared" si="27"/>
        <v/>
      </c>
      <c r="B131" s="10" t="s">
        <v>146</v>
      </c>
      <c r="C131" s="31"/>
      <c r="D131" s="84" t="s">
        <v>15</v>
      </c>
      <c r="E131" s="84"/>
      <c r="F131" s="84"/>
      <c r="G131" s="86" t="s">
        <v>359</v>
      </c>
      <c r="H131" s="172"/>
      <c r="I131" s="43"/>
      <c r="J131" s="90">
        <f t="shared" si="26"/>
        <v>0</v>
      </c>
      <c r="K131" s="90">
        <f>K132</f>
        <v>0</v>
      </c>
      <c r="L131" s="90">
        <f>L132</f>
        <v>0</v>
      </c>
      <c r="M131" s="90">
        <f>M132</f>
        <v>0</v>
      </c>
    </row>
    <row r="132" spans="1:13" s="19" customFormat="1" ht="24" hidden="1" customHeight="1" x14ac:dyDescent="0.25">
      <c r="A132" s="9" t="str">
        <f t="shared" si="27"/>
        <v/>
      </c>
      <c r="B132" s="10" t="s">
        <v>146</v>
      </c>
      <c r="C132" s="31"/>
      <c r="D132" s="84" t="s">
        <v>14</v>
      </c>
      <c r="E132" s="84"/>
      <c r="F132" s="84"/>
      <c r="G132" s="86" t="s">
        <v>359</v>
      </c>
      <c r="H132" s="149"/>
      <c r="I132" s="41"/>
      <c r="J132" s="153">
        <f t="shared" si="26"/>
        <v>0</v>
      </c>
      <c r="K132" s="153">
        <f>+K134+K135+K133</f>
        <v>0</v>
      </c>
      <c r="L132" s="153">
        <f>+L134+L135+L133</f>
        <v>0</v>
      </c>
      <c r="M132" s="153">
        <f>+M134+M135+M133</f>
        <v>0</v>
      </c>
    </row>
    <row r="133" spans="1:13" s="19" customFormat="1" ht="75.75" hidden="1" thickBot="1" x14ac:dyDescent="0.3">
      <c r="A133" s="9" t="str">
        <f>IF(J133=0,"","п")</f>
        <v/>
      </c>
      <c r="B133" s="10" t="s">
        <v>146</v>
      </c>
      <c r="C133" s="31"/>
      <c r="D133" s="116" t="s">
        <v>81</v>
      </c>
      <c r="E133" s="138" t="s">
        <v>82</v>
      </c>
      <c r="F133" s="115" t="s">
        <v>76</v>
      </c>
      <c r="G133" s="308" t="s">
        <v>83</v>
      </c>
      <c r="H133" s="149"/>
      <c r="I133" s="41"/>
      <c r="J133" s="136">
        <f t="shared" si="26"/>
        <v>0</v>
      </c>
      <c r="K133" s="136"/>
      <c r="L133" s="136"/>
      <c r="M133" s="136"/>
    </row>
    <row r="134" spans="1:13" s="12" customFormat="1" ht="38.25" hidden="1" thickBot="1" x14ac:dyDescent="0.3">
      <c r="A134" s="9" t="str">
        <f t="shared" si="27"/>
        <v/>
      </c>
      <c r="B134" s="10" t="s">
        <v>146</v>
      </c>
      <c r="C134" s="31"/>
      <c r="D134" s="263" t="s">
        <v>30</v>
      </c>
      <c r="E134" s="138" t="s">
        <v>141</v>
      </c>
      <c r="F134" s="115" t="s">
        <v>130</v>
      </c>
      <c r="G134" s="308" t="s">
        <v>139</v>
      </c>
      <c r="H134" s="138"/>
      <c r="I134" s="38"/>
      <c r="J134" s="136">
        <f t="shared" si="26"/>
        <v>0</v>
      </c>
      <c r="K134" s="136"/>
      <c r="L134" s="136"/>
      <c r="M134" s="136"/>
    </row>
    <row r="135" spans="1:13" s="12" customFormat="1" ht="19.5" hidden="1" thickBot="1" x14ac:dyDescent="0.3">
      <c r="A135" s="9" t="str">
        <f t="shared" si="27"/>
        <v/>
      </c>
      <c r="B135" s="10" t="s">
        <v>146</v>
      </c>
      <c r="C135" s="31"/>
      <c r="D135" s="116"/>
      <c r="E135" s="92"/>
      <c r="F135" s="93"/>
      <c r="G135" s="94"/>
      <c r="H135" s="138"/>
      <c r="I135" s="38"/>
      <c r="J135" s="136"/>
      <c r="K135" s="136"/>
      <c r="L135" s="136"/>
      <c r="M135" s="136"/>
    </row>
    <row r="136" spans="1:13" s="103" customFormat="1" ht="20.25" hidden="1" thickBot="1" x14ac:dyDescent="0.35">
      <c r="A136" s="66" t="str">
        <f t="shared" si="27"/>
        <v/>
      </c>
      <c r="B136" s="67" t="s">
        <v>148</v>
      </c>
      <c r="C136" s="31"/>
      <c r="D136" s="327" t="s">
        <v>40</v>
      </c>
      <c r="E136" s="149"/>
      <c r="F136" s="150"/>
      <c r="G136" s="86" t="s">
        <v>362</v>
      </c>
      <c r="H136" s="151"/>
      <c r="I136" s="152"/>
      <c r="J136" s="153">
        <f t="shared" si="26"/>
        <v>0</v>
      </c>
      <c r="K136" s="153">
        <f>K137</f>
        <v>0</v>
      </c>
      <c r="L136" s="153">
        <f>L137</f>
        <v>0</v>
      </c>
      <c r="M136" s="153">
        <f>M137</f>
        <v>0</v>
      </c>
    </row>
    <row r="137" spans="1:13" s="103" customFormat="1" ht="20.25" hidden="1" thickBot="1" x14ac:dyDescent="0.35">
      <c r="A137" s="66" t="str">
        <f t="shared" si="27"/>
        <v/>
      </c>
      <c r="B137" s="67" t="s">
        <v>148</v>
      </c>
      <c r="C137" s="31"/>
      <c r="D137" s="327" t="s">
        <v>41</v>
      </c>
      <c r="E137" s="149"/>
      <c r="F137" s="150"/>
      <c r="G137" s="86" t="s">
        <v>362</v>
      </c>
      <c r="H137" s="151"/>
      <c r="I137" s="152"/>
      <c r="J137" s="153">
        <f t="shared" si="26"/>
        <v>0</v>
      </c>
      <c r="K137" s="153">
        <f>SUM(K138:K140)</f>
        <v>0</v>
      </c>
      <c r="L137" s="153">
        <f>SUM(L138:L140)</f>
        <v>0</v>
      </c>
      <c r="M137" s="153">
        <f>SUM(M138:M140)</f>
        <v>0</v>
      </c>
    </row>
    <row r="138" spans="1:13" s="12" customFormat="1" ht="29.25" hidden="1" customHeight="1" x14ac:dyDescent="0.25">
      <c r="A138" s="9" t="str">
        <f t="shared" si="27"/>
        <v/>
      </c>
      <c r="B138" s="10" t="s">
        <v>148</v>
      </c>
      <c r="C138" s="31"/>
      <c r="D138" s="263" t="s">
        <v>42</v>
      </c>
      <c r="E138" s="138">
        <v>1010</v>
      </c>
      <c r="F138" s="115" t="s">
        <v>126</v>
      </c>
      <c r="G138" s="308" t="s">
        <v>43</v>
      </c>
      <c r="H138" s="138"/>
      <c r="I138" s="38"/>
      <c r="J138" s="136">
        <f t="shared" si="26"/>
        <v>0</v>
      </c>
      <c r="K138" s="136">
        <f>50000-50000</f>
        <v>0</v>
      </c>
      <c r="L138" s="136"/>
      <c r="M138" s="136"/>
    </row>
    <row r="139" spans="1:13" s="102" customFormat="1" ht="38.25" hidden="1" thickBot="1" x14ac:dyDescent="0.35">
      <c r="A139" s="66" t="str">
        <f t="shared" si="27"/>
        <v/>
      </c>
      <c r="B139" s="67" t="s">
        <v>148</v>
      </c>
      <c r="C139" s="31"/>
      <c r="D139" s="116" t="s">
        <v>207</v>
      </c>
      <c r="E139" s="92">
        <v>1021</v>
      </c>
      <c r="F139" s="93" t="s">
        <v>127</v>
      </c>
      <c r="G139" s="119" t="s">
        <v>209</v>
      </c>
      <c r="H139" s="138"/>
      <c r="I139" s="134"/>
      <c r="J139" s="136">
        <f t="shared" si="26"/>
        <v>0</v>
      </c>
      <c r="K139" s="136">
        <f>425731-378731-47000</f>
        <v>0</v>
      </c>
      <c r="L139" s="136">
        <f>121039-121039</f>
        <v>0</v>
      </c>
      <c r="M139" s="136">
        <f>121039-121039</f>
        <v>0</v>
      </c>
    </row>
    <row r="140" spans="1:13" s="12" customFormat="1" ht="19.5" hidden="1" thickBot="1" x14ac:dyDescent="0.3">
      <c r="A140" s="9" t="str">
        <f t="shared" si="27"/>
        <v/>
      </c>
      <c r="B140" s="10" t="s">
        <v>148</v>
      </c>
      <c r="C140" s="31"/>
      <c r="D140" s="263"/>
      <c r="E140" s="114"/>
      <c r="F140" s="115"/>
      <c r="G140" s="308"/>
      <c r="H140" s="138"/>
      <c r="I140" s="38"/>
      <c r="J140" s="136">
        <f t="shared" si="26"/>
        <v>0</v>
      </c>
      <c r="K140" s="136"/>
      <c r="L140" s="136"/>
      <c r="M140" s="136"/>
    </row>
    <row r="141" spans="1:13" s="102" customFormat="1" ht="39.75" hidden="1" thickBot="1" x14ac:dyDescent="0.35">
      <c r="A141" s="66" t="str">
        <f t="shared" si="27"/>
        <v/>
      </c>
      <c r="B141" s="67" t="s">
        <v>6</v>
      </c>
      <c r="C141" s="31"/>
      <c r="D141" s="129" t="s">
        <v>134</v>
      </c>
      <c r="E141" s="104"/>
      <c r="F141" s="104"/>
      <c r="G141" s="105" t="s">
        <v>361</v>
      </c>
      <c r="H141" s="138"/>
      <c r="I141" s="131"/>
      <c r="J141" s="153">
        <f t="shared" si="26"/>
        <v>0</v>
      </c>
      <c r="K141" s="153">
        <f>+K142</f>
        <v>0</v>
      </c>
      <c r="L141" s="153">
        <f>+L142</f>
        <v>0</v>
      </c>
      <c r="M141" s="153">
        <f>+M142</f>
        <v>0</v>
      </c>
    </row>
    <row r="142" spans="1:13" s="102" customFormat="1" ht="39.75" hidden="1" thickBot="1" x14ac:dyDescent="0.35">
      <c r="A142" s="66" t="str">
        <f t="shared" si="27"/>
        <v/>
      </c>
      <c r="B142" s="67" t="s">
        <v>6</v>
      </c>
      <c r="C142" s="31"/>
      <c r="D142" s="129" t="s">
        <v>135</v>
      </c>
      <c r="E142" s="104"/>
      <c r="F142" s="104"/>
      <c r="G142" s="105" t="s">
        <v>361</v>
      </c>
      <c r="H142" s="138"/>
      <c r="I142" s="131"/>
      <c r="J142" s="153">
        <f>SUM(J143:J144)</f>
        <v>0</v>
      </c>
      <c r="K142" s="153">
        <f>SUM(K143:K144)</f>
        <v>0</v>
      </c>
      <c r="L142" s="153">
        <f>SUM(L143:L144)</f>
        <v>0</v>
      </c>
      <c r="M142" s="153">
        <f>SUM(M143:M144)</f>
        <v>0</v>
      </c>
    </row>
    <row r="143" spans="1:13" s="102" customFormat="1" ht="38.25" hidden="1" thickBot="1" x14ac:dyDescent="0.35">
      <c r="A143" s="66" t="str">
        <f t="shared" si="27"/>
        <v/>
      </c>
      <c r="B143" s="67" t="s">
        <v>6</v>
      </c>
      <c r="C143" s="9" t="str">
        <f>IF(L143=0,"","п")</f>
        <v/>
      </c>
      <c r="D143" s="116" t="s">
        <v>196</v>
      </c>
      <c r="E143" s="92">
        <v>4060</v>
      </c>
      <c r="F143" s="93" t="s">
        <v>198</v>
      </c>
      <c r="G143" s="94" t="s">
        <v>199</v>
      </c>
      <c r="H143" s="138"/>
      <c r="I143" s="134"/>
      <c r="J143" s="136">
        <f t="shared" si="26"/>
        <v>0</v>
      </c>
      <c r="K143" s="136"/>
      <c r="L143" s="136"/>
      <c r="M143" s="136"/>
    </row>
    <row r="144" spans="1:13" s="102" customFormat="1" ht="38.25" hidden="1" thickBot="1" x14ac:dyDescent="0.35">
      <c r="A144" s="66" t="str">
        <f t="shared" si="27"/>
        <v/>
      </c>
      <c r="B144" s="67" t="s">
        <v>6</v>
      </c>
      <c r="C144" s="31"/>
      <c r="D144" s="116">
        <v>1015031</v>
      </c>
      <c r="E144" s="92" t="s">
        <v>32</v>
      </c>
      <c r="F144" s="93" t="s">
        <v>121</v>
      </c>
      <c r="G144" s="94" t="s">
        <v>136</v>
      </c>
      <c r="H144" s="138"/>
      <c r="I144" s="134"/>
      <c r="J144" s="136">
        <f t="shared" si="26"/>
        <v>0</v>
      </c>
      <c r="K144" s="136">
        <f>250000-250000</f>
        <v>0</v>
      </c>
      <c r="L144" s="136">
        <f>50000-50000</f>
        <v>0</v>
      </c>
      <c r="M144" s="136">
        <f>50000-50000</f>
        <v>0</v>
      </c>
    </row>
    <row r="145" spans="1:13" s="102" customFormat="1" ht="39.75" hidden="1" thickBot="1" x14ac:dyDescent="0.35">
      <c r="A145" s="66" t="str">
        <f t="shared" si="27"/>
        <v/>
      </c>
      <c r="B145" s="67" t="s">
        <v>149</v>
      </c>
      <c r="C145" s="31"/>
      <c r="D145" s="129" t="s">
        <v>47</v>
      </c>
      <c r="E145" s="104"/>
      <c r="F145" s="104"/>
      <c r="G145" s="105" t="s">
        <v>363</v>
      </c>
      <c r="H145" s="138"/>
      <c r="I145" s="134"/>
      <c r="J145" s="153">
        <f t="shared" si="26"/>
        <v>0</v>
      </c>
      <c r="K145" s="153">
        <f>+K146</f>
        <v>0</v>
      </c>
      <c r="L145" s="153">
        <f>+L146</f>
        <v>0</v>
      </c>
      <c r="M145" s="153">
        <f>+M146</f>
        <v>0</v>
      </c>
    </row>
    <row r="146" spans="1:13" s="102" customFormat="1" ht="58.5" hidden="1" customHeight="1" x14ac:dyDescent="0.3">
      <c r="A146" s="66" t="str">
        <f t="shared" si="27"/>
        <v/>
      </c>
      <c r="B146" s="67" t="s">
        <v>149</v>
      </c>
      <c r="C146" s="31"/>
      <c r="D146" s="129" t="s">
        <v>48</v>
      </c>
      <c r="E146" s="104"/>
      <c r="F146" s="104"/>
      <c r="G146" s="105" t="s">
        <v>363</v>
      </c>
      <c r="H146" s="138"/>
      <c r="I146" s="134"/>
      <c r="J146" s="153">
        <f t="shared" si="26"/>
        <v>0</v>
      </c>
      <c r="K146" s="153">
        <f>SUM(K147:K148)</f>
        <v>0</v>
      </c>
      <c r="L146" s="153">
        <f t="shared" ref="L146:M146" si="30">SUM(L147:L148)</f>
        <v>0</v>
      </c>
      <c r="M146" s="153">
        <f t="shared" si="30"/>
        <v>0</v>
      </c>
    </row>
    <row r="147" spans="1:13" s="102" customFormat="1" ht="47.25" hidden="1" customHeight="1" x14ac:dyDescent="0.3">
      <c r="A147" s="66" t="str">
        <f t="shared" si="27"/>
        <v/>
      </c>
      <c r="B147" s="67" t="s">
        <v>149</v>
      </c>
      <c r="C147" s="31"/>
      <c r="D147" s="260" t="s">
        <v>169</v>
      </c>
      <c r="E147" s="179" t="s">
        <v>170</v>
      </c>
      <c r="F147" s="179" t="s">
        <v>104</v>
      </c>
      <c r="G147" s="278" t="s">
        <v>171</v>
      </c>
      <c r="H147" s="138"/>
      <c r="I147" s="134"/>
      <c r="J147" s="136">
        <f t="shared" si="26"/>
        <v>0</v>
      </c>
      <c r="K147" s="136">
        <f>49931-49931</f>
        <v>0</v>
      </c>
      <c r="L147" s="136"/>
      <c r="M147" s="136"/>
    </row>
    <row r="148" spans="1:13" s="102" customFormat="1" ht="34.5" hidden="1" customHeight="1" thickBot="1" x14ac:dyDescent="0.35">
      <c r="A148" s="66" t="str">
        <f t="shared" si="27"/>
        <v/>
      </c>
      <c r="B148" s="67" t="s">
        <v>149</v>
      </c>
      <c r="C148" s="31"/>
      <c r="D148" s="164">
        <v>1216030</v>
      </c>
      <c r="E148" s="155" t="s">
        <v>56</v>
      </c>
      <c r="F148" s="156" t="s">
        <v>120</v>
      </c>
      <c r="G148" s="157" t="s">
        <v>57</v>
      </c>
      <c r="H148" s="155"/>
      <c r="I148" s="158"/>
      <c r="J148" s="159">
        <f t="shared" si="26"/>
        <v>0</v>
      </c>
      <c r="K148" s="159"/>
      <c r="L148" s="159">
        <f>50000-50000</f>
        <v>0</v>
      </c>
      <c r="M148" s="159">
        <f>50000-50000</f>
        <v>0</v>
      </c>
    </row>
    <row r="149" spans="1:13" s="103" customFormat="1" ht="100.5" hidden="1" customHeight="1" x14ac:dyDescent="0.3">
      <c r="A149" s="66" t="str">
        <f>IF(J149=0,"","п")</f>
        <v/>
      </c>
      <c r="B149" s="67"/>
      <c r="C149" s="10"/>
      <c r="D149" s="140"/>
      <c r="E149" s="78"/>
      <c r="F149" s="140"/>
      <c r="G149" s="78"/>
      <c r="H149" s="79" t="s">
        <v>218</v>
      </c>
      <c r="I149" s="80" t="s">
        <v>301</v>
      </c>
      <c r="J149" s="81">
        <f>+K149+L149</f>
        <v>0</v>
      </c>
      <c r="K149" s="82">
        <f t="shared" ref="K149:M150" si="31">+K150</f>
        <v>0</v>
      </c>
      <c r="L149" s="82">
        <f t="shared" si="31"/>
        <v>0</v>
      </c>
      <c r="M149" s="82">
        <f t="shared" si="31"/>
        <v>0</v>
      </c>
    </row>
    <row r="150" spans="1:13" s="103" customFormat="1" ht="24.75" hidden="1" customHeight="1" x14ac:dyDescent="0.3">
      <c r="A150" s="66" t="str">
        <f>IF(J150=0,"","п")</f>
        <v/>
      </c>
      <c r="B150" s="67" t="s">
        <v>146</v>
      </c>
      <c r="C150" s="10"/>
      <c r="D150" s="84" t="s">
        <v>15</v>
      </c>
      <c r="E150" s="84"/>
      <c r="F150" s="84"/>
      <c r="G150" s="86" t="s">
        <v>359</v>
      </c>
      <c r="H150" s="106"/>
      <c r="I150" s="107"/>
      <c r="J150" s="108">
        <f>+K150+L150</f>
        <v>0</v>
      </c>
      <c r="K150" s="109">
        <f t="shared" si="31"/>
        <v>0</v>
      </c>
      <c r="L150" s="109">
        <f t="shared" si="31"/>
        <v>0</v>
      </c>
      <c r="M150" s="109">
        <f t="shared" si="31"/>
        <v>0</v>
      </c>
    </row>
    <row r="151" spans="1:13" s="103" customFormat="1" ht="24.75" hidden="1" customHeight="1" x14ac:dyDescent="0.3">
      <c r="A151" s="66" t="str">
        <f>IF(J151=0,"","п")</f>
        <v/>
      </c>
      <c r="B151" s="67" t="s">
        <v>146</v>
      </c>
      <c r="C151" s="10"/>
      <c r="D151" s="84" t="s">
        <v>14</v>
      </c>
      <c r="E151" s="84"/>
      <c r="F151" s="84"/>
      <c r="G151" s="86" t="s">
        <v>359</v>
      </c>
      <c r="H151" s="87"/>
      <c r="I151" s="88"/>
      <c r="J151" s="89">
        <f>+K151+L151</f>
        <v>0</v>
      </c>
      <c r="K151" s="90">
        <f>SUM(K152:K153)</f>
        <v>0</v>
      </c>
      <c r="L151" s="90">
        <f t="shared" ref="L151:M151" si="32">SUM(L152:L153)</f>
        <v>0</v>
      </c>
      <c r="M151" s="90">
        <f t="shared" si="32"/>
        <v>0</v>
      </c>
    </row>
    <row r="152" spans="1:13" s="102" customFormat="1" ht="45" hidden="1" customHeight="1" x14ac:dyDescent="0.3">
      <c r="A152" s="66" t="str">
        <f>IF(J152=0,"","п")</f>
        <v/>
      </c>
      <c r="B152" s="67" t="s">
        <v>146</v>
      </c>
      <c r="C152" s="31"/>
      <c r="D152" s="116"/>
      <c r="E152" s="93"/>
      <c r="F152" s="93"/>
      <c r="G152" s="94"/>
      <c r="H152" s="95"/>
      <c r="I152" s="96"/>
      <c r="J152" s="98">
        <f>+K152+L152</f>
        <v>0</v>
      </c>
      <c r="K152" s="98"/>
      <c r="L152" s="98"/>
      <c r="M152" s="98"/>
    </row>
    <row r="153" spans="1:13" s="102" customFormat="1" ht="45" hidden="1" customHeight="1" thickBot="1" x14ac:dyDescent="0.35">
      <c r="A153" s="66" t="str">
        <f>IF(J153=0,"","п")</f>
        <v/>
      </c>
      <c r="B153" s="67" t="s">
        <v>146</v>
      </c>
      <c r="C153" s="31"/>
      <c r="D153" s="387" t="s">
        <v>292</v>
      </c>
      <c r="E153" s="277" t="s">
        <v>285</v>
      </c>
      <c r="F153" s="277" t="s">
        <v>128</v>
      </c>
      <c r="G153" s="311" t="s">
        <v>286</v>
      </c>
      <c r="H153" s="388"/>
      <c r="I153" s="364"/>
      <c r="J153" s="178">
        <f>+K153+L153</f>
        <v>0</v>
      </c>
      <c r="K153" s="178"/>
      <c r="L153" s="178"/>
      <c r="M153" s="178"/>
    </row>
    <row r="154" spans="1:13" s="103" customFormat="1" ht="62.25" customHeight="1" x14ac:dyDescent="0.3">
      <c r="A154" s="66" t="str">
        <f t="shared" si="27"/>
        <v>п</v>
      </c>
      <c r="B154" s="67"/>
      <c r="C154" s="10"/>
      <c r="D154" s="140"/>
      <c r="E154" s="78"/>
      <c r="F154" s="140"/>
      <c r="G154" s="78"/>
      <c r="H154" s="79" t="s">
        <v>200</v>
      </c>
      <c r="I154" s="80" t="s">
        <v>278</v>
      </c>
      <c r="J154" s="81">
        <f t="shared" si="26"/>
        <v>19830</v>
      </c>
      <c r="K154" s="82">
        <f t="shared" ref="K154:M155" si="33">+K155</f>
        <v>19830</v>
      </c>
      <c r="L154" s="82">
        <f t="shared" si="33"/>
        <v>0</v>
      </c>
      <c r="M154" s="82">
        <f t="shared" si="33"/>
        <v>0</v>
      </c>
    </row>
    <row r="155" spans="1:13" s="103" customFormat="1" ht="39" x14ac:dyDescent="0.3">
      <c r="A155" s="66" t="str">
        <f t="shared" si="27"/>
        <v>п</v>
      </c>
      <c r="B155" s="67" t="s">
        <v>6</v>
      </c>
      <c r="C155" s="10"/>
      <c r="D155" s="129" t="s">
        <v>134</v>
      </c>
      <c r="E155" s="104"/>
      <c r="F155" s="104"/>
      <c r="G155" s="105" t="s">
        <v>361</v>
      </c>
      <c r="H155" s="106"/>
      <c r="I155" s="107"/>
      <c r="J155" s="108">
        <f t="shared" si="26"/>
        <v>19830</v>
      </c>
      <c r="K155" s="109">
        <f t="shared" si="33"/>
        <v>19830</v>
      </c>
      <c r="L155" s="109">
        <f t="shared" si="33"/>
        <v>0</v>
      </c>
      <c r="M155" s="109">
        <f t="shared" si="33"/>
        <v>0</v>
      </c>
    </row>
    <row r="156" spans="1:13" s="103" customFormat="1" ht="39" x14ac:dyDescent="0.3">
      <c r="A156" s="66" t="str">
        <f t="shared" si="27"/>
        <v>п</v>
      </c>
      <c r="B156" s="67" t="s">
        <v>6</v>
      </c>
      <c r="C156" s="10"/>
      <c r="D156" s="129" t="s">
        <v>135</v>
      </c>
      <c r="E156" s="104"/>
      <c r="F156" s="104"/>
      <c r="G156" s="105" t="s">
        <v>361</v>
      </c>
      <c r="H156" s="160"/>
      <c r="I156" s="161"/>
      <c r="J156" s="162">
        <f t="shared" si="26"/>
        <v>19830</v>
      </c>
      <c r="K156" s="163">
        <f>SUM(K157:K157)</f>
        <v>19830</v>
      </c>
      <c r="L156" s="163">
        <f>SUM(L157:L157)</f>
        <v>0</v>
      </c>
      <c r="M156" s="163">
        <f>SUM(M157:M157)</f>
        <v>0</v>
      </c>
    </row>
    <row r="157" spans="1:13" s="102" customFormat="1" ht="29.25" customHeight="1" thickBot="1" x14ac:dyDescent="0.35">
      <c r="A157" s="66" t="str">
        <f t="shared" si="27"/>
        <v>п</v>
      </c>
      <c r="B157" s="67" t="s">
        <v>6</v>
      </c>
      <c r="C157" s="10"/>
      <c r="D157" s="116" t="s">
        <v>163</v>
      </c>
      <c r="E157" s="92" t="s">
        <v>162</v>
      </c>
      <c r="F157" s="93" t="s">
        <v>13</v>
      </c>
      <c r="G157" s="94" t="s">
        <v>164</v>
      </c>
      <c r="H157" s="133"/>
      <c r="I157" s="134"/>
      <c r="J157" s="406">
        <f t="shared" si="26"/>
        <v>19830</v>
      </c>
      <c r="K157" s="136">
        <v>19830</v>
      </c>
      <c r="L157" s="137"/>
      <c r="M157" s="137"/>
    </row>
    <row r="158" spans="1:13" s="12" customFormat="1" ht="56.25" x14ac:dyDescent="0.25">
      <c r="A158" s="66" t="str">
        <f t="shared" si="27"/>
        <v>п</v>
      </c>
      <c r="B158" s="67"/>
      <c r="C158" s="10"/>
      <c r="D158" s="77"/>
      <c r="E158" s="76"/>
      <c r="F158" s="77"/>
      <c r="G158" s="78"/>
      <c r="H158" s="78" t="s">
        <v>251</v>
      </c>
      <c r="I158" s="80" t="s">
        <v>252</v>
      </c>
      <c r="J158" s="82">
        <f t="shared" si="26"/>
        <v>1149500</v>
      </c>
      <c r="K158" s="82">
        <f>+K159</f>
        <v>0</v>
      </c>
      <c r="L158" s="82">
        <f>+L159</f>
        <v>1149500</v>
      </c>
      <c r="M158" s="82">
        <f>+M159</f>
        <v>0</v>
      </c>
    </row>
    <row r="159" spans="1:13" s="19" customFormat="1" ht="38.25" customHeight="1" x14ac:dyDescent="0.25">
      <c r="A159" s="66" t="str">
        <f t="shared" si="27"/>
        <v>п</v>
      </c>
      <c r="B159" s="67" t="s">
        <v>149</v>
      </c>
      <c r="C159" s="10"/>
      <c r="D159" s="129" t="s">
        <v>47</v>
      </c>
      <c r="E159" s="104"/>
      <c r="F159" s="104"/>
      <c r="G159" s="105" t="s">
        <v>363</v>
      </c>
      <c r="H159" s="267"/>
      <c r="I159" s="181"/>
      <c r="J159" s="183">
        <f t="shared" si="26"/>
        <v>1149500</v>
      </c>
      <c r="K159" s="183">
        <f>SUM(K161)</f>
        <v>0</v>
      </c>
      <c r="L159" s="183">
        <f>SUM(L161)</f>
        <v>1149500</v>
      </c>
      <c r="M159" s="183">
        <f>SUM(M161)</f>
        <v>0</v>
      </c>
    </row>
    <row r="160" spans="1:13" s="19" customFormat="1" ht="39" customHeight="1" x14ac:dyDescent="0.25">
      <c r="A160" s="66" t="str">
        <f t="shared" si="27"/>
        <v>п</v>
      </c>
      <c r="B160" s="67" t="s">
        <v>149</v>
      </c>
      <c r="C160" s="10"/>
      <c r="D160" s="129" t="s">
        <v>48</v>
      </c>
      <c r="E160" s="104"/>
      <c r="F160" s="104"/>
      <c r="G160" s="105" t="s">
        <v>363</v>
      </c>
      <c r="H160" s="151"/>
      <c r="I160" s="357"/>
      <c r="J160" s="358">
        <f t="shared" si="26"/>
        <v>1149500</v>
      </c>
      <c r="K160" s="358">
        <f>+K161</f>
        <v>0</v>
      </c>
      <c r="L160" s="358">
        <f>+L161</f>
        <v>1149500</v>
      </c>
      <c r="M160" s="358">
        <f>+M161</f>
        <v>0</v>
      </c>
    </row>
    <row r="161" spans="1:13" s="102" customFormat="1" ht="44.25" customHeight="1" thickBot="1" x14ac:dyDescent="0.35">
      <c r="A161" s="66" t="str">
        <f t="shared" si="27"/>
        <v>п</v>
      </c>
      <c r="B161" s="67" t="s">
        <v>149</v>
      </c>
      <c r="C161" s="10"/>
      <c r="D161" s="93">
        <v>1218340</v>
      </c>
      <c r="E161" s="120">
        <v>8340</v>
      </c>
      <c r="F161" s="93" t="s">
        <v>168</v>
      </c>
      <c r="G161" s="94" t="s">
        <v>167</v>
      </c>
      <c r="H161" s="95"/>
      <c r="I161" s="96"/>
      <c r="J161" s="406">
        <f t="shared" si="26"/>
        <v>1149500</v>
      </c>
      <c r="K161" s="98"/>
      <c r="L161" s="98">
        <f>100000+1049500</f>
        <v>1149500</v>
      </c>
      <c r="M161" s="98"/>
    </row>
    <row r="162" spans="1:13" s="12" customFormat="1" ht="50.25" hidden="1" customHeight="1" x14ac:dyDescent="0.25">
      <c r="A162" s="9" t="str">
        <f t="shared" si="27"/>
        <v/>
      </c>
      <c r="B162" s="10"/>
      <c r="C162" s="10"/>
      <c r="D162" s="77"/>
      <c r="E162" s="76"/>
      <c r="F162" s="77"/>
      <c r="G162" s="78"/>
      <c r="H162" s="78" t="s">
        <v>322</v>
      </c>
      <c r="I162" s="80" t="s">
        <v>323</v>
      </c>
      <c r="J162" s="82">
        <f t="shared" si="26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39.75" hidden="1" thickBot="1" x14ac:dyDescent="0.3">
      <c r="A163" s="9" t="str">
        <f t="shared" si="27"/>
        <v/>
      </c>
      <c r="B163" s="10" t="s">
        <v>149</v>
      </c>
      <c r="C163" s="10"/>
      <c r="D163" s="129" t="s">
        <v>47</v>
      </c>
      <c r="E163" s="104"/>
      <c r="F163" s="104"/>
      <c r="G163" s="105" t="s">
        <v>363</v>
      </c>
      <c r="H163" s="267"/>
      <c r="I163" s="44"/>
      <c r="J163" s="183">
        <f t="shared" si="26"/>
        <v>0</v>
      </c>
      <c r="K163" s="109">
        <f>SUM(K165)</f>
        <v>0</v>
      </c>
      <c r="L163" s="359">
        <f>SUM(L165)</f>
        <v>0</v>
      </c>
      <c r="M163" s="359">
        <f>SUM(M165)</f>
        <v>0</v>
      </c>
    </row>
    <row r="164" spans="1:13" s="19" customFormat="1" ht="39.75" hidden="1" thickBot="1" x14ac:dyDescent="0.3">
      <c r="A164" s="9" t="str">
        <f t="shared" si="27"/>
        <v/>
      </c>
      <c r="B164" s="10" t="s">
        <v>149</v>
      </c>
      <c r="C164" s="10"/>
      <c r="D164" s="129" t="s">
        <v>48</v>
      </c>
      <c r="E164" s="104"/>
      <c r="F164" s="104"/>
      <c r="G164" s="105" t="s">
        <v>363</v>
      </c>
      <c r="H164" s="151"/>
      <c r="I164" s="45"/>
      <c r="J164" s="358">
        <f t="shared" ref="J164" si="34">+K164+L164</f>
        <v>0</v>
      </c>
      <c r="K164" s="163">
        <f>+K165</f>
        <v>0</v>
      </c>
      <c r="L164" s="386">
        <f>+L165</f>
        <v>0</v>
      </c>
      <c r="M164" s="386">
        <f>+M165</f>
        <v>0</v>
      </c>
    </row>
    <row r="165" spans="1:13" s="12" customFormat="1" ht="19.5" hidden="1" thickBot="1" x14ac:dyDescent="0.3">
      <c r="A165" s="9" t="str">
        <f t="shared" si="27"/>
        <v/>
      </c>
      <c r="B165" s="10" t="s">
        <v>149</v>
      </c>
      <c r="C165" s="31"/>
      <c r="D165" s="116" t="s">
        <v>282</v>
      </c>
      <c r="E165" s="92">
        <v>8230</v>
      </c>
      <c r="F165" s="179" t="s">
        <v>256</v>
      </c>
      <c r="G165" s="278" t="s">
        <v>283</v>
      </c>
      <c r="H165" s="120"/>
      <c r="I165" s="37"/>
      <c r="J165" s="159">
        <f>+K165+L165</f>
        <v>0</v>
      </c>
      <c r="K165" s="159"/>
      <c r="L165" s="159"/>
      <c r="M165" s="159"/>
    </row>
    <row r="166" spans="1:13" s="12" customFormat="1" ht="97.5" customHeight="1" x14ac:dyDescent="0.25">
      <c r="A166" s="66" t="str">
        <f t="shared" si="27"/>
        <v>п</v>
      </c>
      <c r="B166" s="67"/>
      <c r="C166" s="10"/>
      <c r="D166" s="77"/>
      <c r="E166" s="76"/>
      <c r="F166" s="77"/>
      <c r="G166" s="78"/>
      <c r="H166" s="405" t="s">
        <v>324</v>
      </c>
      <c r="I166" s="80" t="s">
        <v>325</v>
      </c>
      <c r="J166" s="358">
        <f t="shared" ref="J166:J169" si="35">+K166+L166</f>
        <v>5354442</v>
      </c>
      <c r="K166" s="82">
        <f>+K167</f>
        <v>2204442</v>
      </c>
      <c r="L166" s="82">
        <f>+L167</f>
        <v>3150000</v>
      </c>
      <c r="M166" s="82">
        <f>+M167</f>
        <v>3150000</v>
      </c>
    </row>
    <row r="167" spans="1:13" s="19" customFormat="1" ht="39" x14ac:dyDescent="0.25">
      <c r="A167" s="66" t="str">
        <f t="shared" si="27"/>
        <v>п</v>
      </c>
      <c r="B167" s="67" t="s">
        <v>146</v>
      </c>
      <c r="C167" s="31"/>
      <c r="D167" s="104" t="s">
        <v>16</v>
      </c>
      <c r="E167" s="104"/>
      <c r="F167" s="104"/>
      <c r="G167" s="105" t="s">
        <v>360</v>
      </c>
      <c r="H167" s="87"/>
      <c r="I167" s="43"/>
      <c r="J167" s="358">
        <f t="shared" si="35"/>
        <v>5354442</v>
      </c>
      <c r="K167" s="359">
        <f t="shared" ref="K167:M168" si="36">SUM(K168)</f>
        <v>2204442</v>
      </c>
      <c r="L167" s="90">
        <f t="shared" si="36"/>
        <v>3150000</v>
      </c>
      <c r="M167" s="90">
        <f t="shared" si="36"/>
        <v>3150000</v>
      </c>
    </row>
    <row r="168" spans="1:13" s="19" customFormat="1" ht="39" x14ac:dyDescent="0.25">
      <c r="A168" s="66" t="str">
        <f t="shared" si="27"/>
        <v>п</v>
      </c>
      <c r="B168" s="67" t="s">
        <v>146</v>
      </c>
      <c r="C168" s="31"/>
      <c r="D168" s="104" t="s">
        <v>17</v>
      </c>
      <c r="E168" s="104"/>
      <c r="F168" s="104"/>
      <c r="G168" s="105" t="s">
        <v>360</v>
      </c>
      <c r="H168" s="87"/>
      <c r="I168" s="43"/>
      <c r="J168" s="358">
        <f t="shared" si="35"/>
        <v>5354442</v>
      </c>
      <c r="K168" s="359">
        <f>SUM(K169)</f>
        <v>2204442</v>
      </c>
      <c r="L168" s="90">
        <f t="shared" si="36"/>
        <v>3150000</v>
      </c>
      <c r="M168" s="90">
        <f t="shared" si="36"/>
        <v>3150000</v>
      </c>
    </row>
    <row r="169" spans="1:13" s="12" customFormat="1" ht="61.5" customHeight="1" thickBot="1" x14ac:dyDescent="0.3">
      <c r="A169" s="66" t="str">
        <f t="shared" si="27"/>
        <v>п</v>
      </c>
      <c r="B169" s="67" t="s">
        <v>146</v>
      </c>
      <c r="C169" s="31"/>
      <c r="D169" s="116" t="s">
        <v>326</v>
      </c>
      <c r="E169" s="277" t="s">
        <v>285</v>
      </c>
      <c r="F169" s="277" t="s">
        <v>128</v>
      </c>
      <c r="G169" s="410" t="s">
        <v>353</v>
      </c>
      <c r="H169" s="95"/>
      <c r="I169" s="37"/>
      <c r="J169" s="159">
        <f t="shared" si="35"/>
        <v>5354442</v>
      </c>
      <c r="K169" s="136">
        <v>2204442</v>
      </c>
      <c r="L169" s="98">
        <f>2000000+1150000</f>
        <v>3150000</v>
      </c>
      <c r="M169" s="98">
        <f>2000000+1150000</f>
        <v>3150000</v>
      </c>
    </row>
    <row r="170" spans="1:13" s="102" customFormat="1" ht="60" hidden="1" customHeight="1" x14ac:dyDescent="0.3">
      <c r="A170" s="66" t="str">
        <f t="shared" si="27"/>
        <v/>
      </c>
      <c r="B170" s="67"/>
      <c r="C170" s="67"/>
      <c r="D170" s="77"/>
      <c r="E170" s="76"/>
      <c r="F170" s="77"/>
      <c r="G170" s="78"/>
      <c r="H170" s="78" t="s">
        <v>253</v>
      </c>
      <c r="I170" s="80" t="s">
        <v>277</v>
      </c>
      <c r="J170" s="82">
        <f>K170+L170</f>
        <v>0</v>
      </c>
      <c r="K170" s="82">
        <f>K171+K174</f>
        <v>0</v>
      </c>
      <c r="L170" s="82">
        <f t="shared" ref="L170:M170" si="37">L171+L174</f>
        <v>0</v>
      </c>
      <c r="M170" s="82">
        <f t="shared" si="37"/>
        <v>0</v>
      </c>
    </row>
    <row r="171" spans="1:13" s="102" customFormat="1" ht="23.25" hidden="1" customHeight="1" x14ac:dyDescent="0.3">
      <c r="A171" s="66" t="str">
        <f t="shared" si="27"/>
        <v/>
      </c>
      <c r="B171" s="67" t="s">
        <v>146</v>
      </c>
      <c r="C171" s="67"/>
      <c r="D171" s="84" t="s">
        <v>15</v>
      </c>
      <c r="E171" s="85"/>
      <c r="F171" s="85"/>
      <c r="G171" s="86" t="s">
        <v>359</v>
      </c>
      <c r="H171" s="180"/>
      <c r="I171" s="181"/>
      <c r="J171" s="183">
        <f t="shared" ref="J171:J179" si="38">K171+L171</f>
        <v>0</v>
      </c>
      <c r="K171" s="183">
        <f>K172</f>
        <v>0</v>
      </c>
      <c r="L171" s="183">
        <f t="shared" ref="L171:M172" si="39">L172</f>
        <v>0</v>
      </c>
      <c r="M171" s="183">
        <f t="shared" si="39"/>
        <v>0</v>
      </c>
    </row>
    <row r="172" spans="1:13" s="102" customFormat="1" ht="23.25" hidden="1" customHeight="1" x14ac:dyDescent="0.3">
      <c r="A172" s="66" t="str">
        <f t="shared" si="27"/>
        <v/>
      </c>
      <c r="B172" s="67" t="s">
        <v>146</v>
      </c>
      <c r="C172" s="67"/>
      <c r="D172" s="84" t="s">
        <v>14</v>
      </c>
      <c r="E172" s="85"/>
      <c r="F172" s="85"/>
      <c r="G172" s="86" t="s">
        <v>359</v>
      </c>
      <c r="H172" s="180"/>
      <c r="I172" s="181"/>
      <c r="J172" s="183">
        <f t="shared" si="38"/>
        <v>0</v>
      </c>
      <c r="K172" s="183">
        <f>K173</f>
        <v>0</v>
      </c>
      <c r="L172" s="183">
        <f t="shared" si="39"/>
        <v>0</v>
      </c>
      <c r="M172" s="183">
        <f t="shared" si="39"/>
        <v>0</v>
      </c>
    </row>
    <row r="173" spans="1:13" s="102" customFormat="1" ht="42.75" hidden="1" customHeight="1" x14ac:dyDescent="0.3">
      <c r="A173" s="66" t="str">
        <f t="shared" si="27"/>
        <v/>
      </c>
      <c r="B173" s="67" t="s">
        <v>146</v>
      </c>
      <c r="C173" s="67"/>
      <c r="D173" s="116" t="s">
        <v>154</v>
      </c>
      <c r="E173" s="92" t="s">
        <v>155</v>
      </c>
      <c r="F173" s="93" t="s">
        <v>128</v>
      </c>
      <c r="G173" s="94" t="s">
        <v>69</v>
      </c>
      <c r="H173" s="180"/>
      <c r="I173" s="181"/>
      <c r="J173" s="169">
        <f t="shared" si="38"/>
        <v>0</v>
      </c>
      <c r="K173" s="169"/>
      <c r="L173" s="169"/>
      <c r="M173" s="183"/>
    </row>
    <row r="174" spans="1:13" s="103" customFormat="1" ht="39.75" hidden="1" thickBot="1" x14ac:dyDescent="0.35">
      <c r="A174" s="66" t="str">
        <f t="shared" si="27"/>
        <v/>
      </c>
      <c r="B174" s="67" t="s">
        <v>149</v>
      </c>
      <c r="C174" s="67"/>
      <c r="D174" s="129" t="s">
        <v>47</v>
      </c>
      <c r="E174" s="104"/>
      <c r="F174" s="104"/>
      <c r="G174" s="105" t="s">
        <v>363</v>
      </c>
      <c r="H174" s="267"/>
      <c r="I174" s="181"/>
      <c r="J174" s="183">
        <f t="shared" si="38"/>
        <v>0</v>
      </c>
      <c r="K174" s="183">
        <f>K175</f>
        <v>0</v>
      </c>
      <c r="L174" s="359">
        <f t="shared" ref="L174:M174" si="40">L175</f>
        <v>0</v>
      </c>
      <c r="M174" s="359">
        <f t="shared" si="40"/>
        <v>0</v>
      </c>
    </row>
    <row r="175" spans="1:13" s="103" customFormat="1" ht="39.75" hidden="1" thickBot="1" x14ac:dyDescent="0.35">
      <c r="A175" s="66" t="str">
        <f t="shared" si="27"/>
        <v/>
      </c>
      <c r="B175" s="67" t="s">
        <v>149</v>
      </c>
      <c r="C175" s="67"/>
      <c r="D175" s="129" t="s">
        <v>48</v>
      </c>
      <c r="E175" s="104"/>
      <c r="F175" s="104"/>
      <c r="G175" s="105" t="s">
        <v>363</v>
      </c>
      <c r="H175" s="151"/>
      <c r="I175" s="357"/>
      <c r="J175" s="358">
        <f t="shared" si="38"/>
        <v>0</v>
      </c>
      <c r="K175" s="358">
        <f>K176+K177+K178+K179</f>
        <v>0</v>
      </c>
      <c r="L175" s="163">
        <f t="shared" ref="L175:M175" si="41">L176+L177+L178+L179</f>
        <v>0</v>
      </c>
      <c r="M175" s="163">
        <f t="shared" si="41"/>
        <v>0</v>
      </c>
    </row>
    <row r="176" spans="1:13" s="102" customFormat="1" ht="26.25" hidden="1" customHeight="1" x14ac:dyDescent="0.3">
      <c r="A176" s="66" t="str">
        <f t="shared" si="27"/>
        <v/>
      </c>
      <c r="B176" s="67" t="s">
        <v>149</v>
      </c>
      <c r="C176" s="67"/>
      <c r="D176" s="263">
        <v>1217321</v>
      </c>
      <c r="E176" s="138">
        <v>7321</v>
      </c>
      <c r="F176" s="115" t="s">
        <v>123</v>
      </c>
      <c r="G176" s="308" t="s">
        <v>153</v>
      </c>
      <c r="H176" s="120"/>
      <c r="I176" s="96"/>
      <c r="J176" s="98">
        <f t="shared" si="38"/>
        <v>0</v>
      </c>
      <c r="K176" s="98"/>
      <c r="L176" s="98"/>
      <c r="M176" s="98"/>
    </row>
    <row r="177" spans="1:13" s="102" customFormat="1" ht="41.25" hidden="1" customHeight="1" x14ac:dyDescent="0.3">
      <c r="A177" s="66" t="str">
        <f t="shared" si="27"/>
        <v/>
      </c>
      <c r="B177" s="67" t="s">
        <v>149</v>
      </c>
      <c r="C177" s="345"/>
      <c r="D177" s="116" t="s">
        <v>249</v>
      </c>
      <c r="E177" s="92">
        <v>6017</v>
      </c>
      <c r="F177" s="93" t="s">
        <v>120</v>
      </c>
      <c r="G177" s="94" t="s">
        <v>250</v>
      </c>
      <c r="H177" s="166"/>
      <c r="I177" s="167"/>
      <c r="J177" s="168">
        <f t="shared" si="38"/>
        <v>0</v>
      </c>
      <c r="K177" s="169">
        <f>1000000-1000000</f>
        <v>0</v>
      </c>
      <c r="L177" s="169"/>
      <c r="M177" s="169"/>
    </row>
    <row r="178" spans="1:13" s="102" customFormat="1" ht="38.25" hidden="1" thickBot="1" x14ac:dyDescent="0.35">
      <c r="A178" s="66" t="str">
        <f>IF(J178=0,"","п")</f>
        <v/>
      </c>
      <c r="B178" s="67" t="s">
        <v>149</v>
      </c>
      <c r="C178" s="67"/>
      <c r="D178" s="116">
        <v>1217310</v>
      </c>
      <c r="E178" s="120">
        <v>7310</v>
      </c>
      <c r="F178" s="93" t="s">
        <v>123</v>
      </c>
      <c r="G178" s="119" t="s">
        <v>68</v>
      </c>
      <c r="H178" s="120"/>
      <c r="I178" s="96"/>
      <c r="J178" s="98">
        <f t="shared" si="38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7"/>
        <v/>
      </c>
      <c r="B179" s="67" t="s">
        <v>149</v>
      </c>
      <c r="C179" s="67"/>
      <c r="D179" s="179" t="s">
        <v>111</v>
      </c>
      <c r="E179" s="175" t="s">
        <v>112</v>
      </c>
      <c r="F179" s="179" t="s">
        <v>123</v>
      </c>
      <c r="G179" s="186" t="s">
        <v>113</v>
      </c>
      <c r="H179" s="166"/>
      <c r="I179" s="167"/>
      <c r="J179" s="168">
        <f t="shared" si="38"/>
        <v>0</v>
      </c>
      <c r="K179" s="169"/>
      <c r="L179" s="302"/>
      <c r="M179" s="302"/>
    </row>
    <row r="180" spans="1:13" s="12" customFormat="1" ht="77.25" hidden="1" customHeight="1" x14ac:dyDescent="0.25">
      <c r="A180" s="66" t="str">
        <f t="shared" si="27"/>
        <v/>
      </c>
      <c r="B180" s="67"/>
      <c r="C180" s="10"/>
      <c r="D180" s="77"/>
      <c r="E180" s="76"/>
      <c r="F180" s="77"/>
      <c r="G180" s="78"/>
      <c r="H180" s="79" t="s">
        <v>332</v>
      </c>
      <c r="I180" s="80" t="s">
        <v>328</v>
      </c>
      <c r="J180" s="81">
        <f t="shared" ref="J180:J183" si="42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27" hidden="1" customHeight="1" x14ac:dyDescent="0.25">
      <c r="A181" s="66" t="str">
        <f t="shared" si="27"/>
        <v/>
      </c>
      <c r="B181" s="67" t="s">
        <v>146</v>
      </c>
      <c r="C181" s="31"/>
      <c r="D181" s="84" t="s">
        <v>15</v>
      </c>
      <c r="E181" s="84"/>
      <c r="F181" s="84"/>
      <c r="G181" s="86" t="s">
        <v>364</v>
      </c>
      <c r="H181" s="87"/>
      <c r="I181" s="43"/>
      <c r="J181" s="89">
        <f t="shared" si="42"/>
        <v>0</v>
      </c>
      <c r="K181" s="90">
        <f t="shared" ref="K181:M182" si="43">SUM(K182)</f>
        <v>0</v>
      </c>
      <c r="L181" s="21">
        <f t="shared" si="43"/>
        <v>0</v>
      </c>
      <c r="M181" s="21">
        <f t="shared" si="43"/>
        <v>0</v>
      </c>
    </row>
    <row r="182" spans="1:13" s="19" customFormat="1" ht="27" hidden="1" customHeight="1" x14ac:dyDescent="0.25">
      <c r="A182" s="66" t="str">
        <f t="shared" si="27"/>
        <v/>
      </c>
      <c r="B182" s="67" t="s">
        <v>146</v>
      </c>
      <c r="C182" s="31"/>
      <c r="D182" s="84" t="s">
        <v>14</v>
      </c>
      <c r="E182" s="84"/>
      <c r="F182" s="84"/>
      <c r="G182" s="86" t="s">
        <v>364</v>
      </c>
      <c r="H182" s="87"/>
      <c r="I182" s="43"/>
      <c r="J182" s="89">
        <f t="shared" si="42"/>
        <v>0</v>
      </c>
      <c r="K182" s="90">
        <f t="shared" si="43"/>
        <v>0</v>
      </c>
      <c r="L182" s="21">
        <f t="shared" si="43"/>
        <v>0</v>
      </c>
      <c r="M182" s="21">
        <f t="shared" si="43"/>
        <v>0</v>
      </c>
    </row>
    <row r="183" spans="1:13" s="26" customFormat="1" ht="116.25" hidden="1" customHeight="1" thickBot="1" x14ac:dyDescent="0.35">
      <c r="A183" s="66" t="str">
        <f t="shared" si="27"/>
        <v/>
      </c>
      <c r="B183" s="67" t="s">
        <v>146</v>
      </c>
      <c r="C183" s="32"/>
      <c r="D183" s="397" t="s">
        <v>336</v>
      </c>
      <c r="E183" s="398" t="s">
        <v>337</v>
      </c>
      <c r="F183" s="390" t="s">
        <v>173</v>
      </c>
      <c r="G183" s="278" t="s">
        <v>338</v>
      </c>
      <c r="H183" s="166"/>
      <c r="I183" s="47"/>
      <c r="J183" s="169">
        <f t="shared" si="42"/>
        <v>0</v>
      </c>
      <c r="K183" s="169">
        <f>17942453-17942453</f>
        <v>0</v>
      </c>
      <c r="L183" s="169"/>
      <c r="M183" s="169"/>
    </row>
    <row r="184" spans="1:13" s="102" customFormat="1" ht="60.75" customHeight="1" x14ac:dyDescent="0.3">
      <c r="A184" s="66" t="str">
        <f t="shared" si="27"/>
        <v>п</v>
      </c>
      <c r="B184" s="67"/>
      <c r="C184" s="10"/>
      <c r="D184" s="77"/>
      <c r="E184" s="76"/>
      <c r="F184" s="77"/>
      <c r="G184" s="78"/>
      <c r="H184" s="79" t="s">
        <v>204</v>
      </c>
      <c r="I184" s="80" t="s">
        <v>280</v>
      </c>
      <c r="J184" s="81">
        <f t="shared" ref="J184:J250" si="44">+K184+L184</f>
        <v>118345513</v>
      </c>
      <c r="K184" s="82">
        <f>+K185+K208+K211</f>
        <v>112955263</v>
      </c>
      <c r="L184" s="83">
        <f>+L185+L208+L211</f>
        <v>5390250</v>
      </c>
      <c r="M184" s="83">
        <f>+M185+M208+M211</f>
        <v>5390250</v>
      </c>
    </row>
    <row r="185" spans="1:13" s="103" customFormat="1" ht="41.25" customHeight="1" x14ac:dyDescent="0.3">
      <c r="A185" s="66" t="str">
        <f t="shared" si="27"/>
        <v>п</v>
      </c>
      <c r="B185" s="67" t="s">
        <v>149</v>
      </c>
      <c r="C185" s="10"/>
      <c r="D185" s="129" t="s">
        <v>47</v>
      </c>
      <c r="E185" s="104"/>
      <c r="F185" s="104"/>
      <c r="G185" s="105" t="s">
        <v>363</v>
      </c>
      <c r="H185" s="106"/>
      <c r="I185" s="107"/>
      <c r="J185" s="108">
        <f t="shared" si="44"/>
        <v>118345513</v>
      </c>
      <c r="K185" s="109">
        <f>+K186</f>
        <v>112955263</v>
      </c>
      <c r="L185" s="109">
        <f>+L186</f>
        <v>5390250</v>
      </c>
      <c r="M185" s="109">
        <f>+M186</f>
        <v>5390250</v>
      </c>
    </row>
    <row r="186" spans="1:13" s="103" customFormat="1" ht="38.25" customHeight="1" x14ac:dyDescent="0.3">
      <c r="A186" s="66" t="str">
        <f t="shared" si="27"/>
        <v>п</v>
      </c>
      <c r="B186" s="67" t="s">
        <v>149</v>
      </c>
      <c r="C186" s="10"/>
      <c r="D186" s="129" t="s">
        <v>48</v>
      </c>
      <c r="E186" s="104"/>
      <c r="F186" s="104"/>
      <c r="G186" s="105" t="s">
        <v>363</v>
      </c>
      <c r="H186" s="106"/>
      <c r="I186" s="107"/>
      <c r="J186" s="108">
        <f t="shared" si="44"/>
        <v>118345513</v>
      </c>
      <c r="K186" s="109">
        <f>SUM(K187:K207)-K188-K192-K203</f>
        <v>112955263</v>
      </c>
      <c r="L186" s="109">
        <f>SUM(L187:L207)-L188-L192-L203</f>
        <v>5390250</v>
      </c>
      <c r="M186" s="109">
        <f>SUM(M187:M207)-M188-M192-M203</f>
        <v>5390250</v>
      </c>
    </row>
    <row r="187" spans="1:13" s="102" customFormat="1" ht="41.25" customHeight="1" x14ac:dyDescent="0.3">
      <c r="A187" s="66" t="str">
        <f t="shared" si="27"/>
        <v>п</v>
      </c>
      <c r="B187" s="67" t="s">
        <v>149</v>
      </c>
      <c r="C187" s="30"/>
      <c r="D187" s="116" t="s">
        <v>106</v>
      </c>
      <c r="E187" s="92" t="s">
        <v>155</v>
      </c>
      <c r="F187" s="93" t="s">
        <v>128</v>
      </c>
      <c r="G187" s="94" t="s">
        <v>69</v>
      </c>
      <c r="H187" s="166"/>
      <c r="I187" s="167"/>
      <c r="J187" s="168">
        <f t="shared" si="44"/>
        <v>75000</v>
      </c>
      <c r="K187" s="169">
        <f>15000+60000</f>
        <v>75000</v>
      </c>
      <c r="L187" s="169"/>
      <c r="M187" s="169"/>
    </row>
    <row r="188" spans="1:13" s="139" customFormat="1" ht="19.5" hidden="1" x14ac:dyDescent="0.3">
      <c r="A188" s="66" t="str">
        <f t="shared" si="27"/>
        <v/>
      </c>
      <c r="B188" s="67" t="s">
        <v>149</v>
      </c>
      <c r="C188" s="348"/>
      <c r="D188" s="322"/>
      <c r="E188" s="258"/>
      <c r="F188" s="188"/>
      <c r="G188" s="123" t="s">
        <v>10</v>
      </c>
      <c r="H188" s="264"/>
      <c r="I188" s="190"/>
      <c r="J188" s="191">
        <f t="shared" si="44"/>
        <v>0</v>
      </c>
      <c r="K188" s="192"/>
      <c r="L188" s="257"/>
      <c r="M188" s="169"/>
    </row>
    <row r="189" spans="1:13" s="102" customFormat="1" ht="29.25" customHeight="1" x14ac:dyDescent="0.3">
      <c r="A189" s="66" t="str">
        <f t="shared" si="27"/>
        <v>п</v>
      </c>
      <c r="B189" s="67" t="s">
        <v>149</v>
      </c>
      <c r="C189" s="360"/>
      <c r="D189" s="260" t="s">
        <v>169</v>
      </c>
      <c r="E189" s="179" t="s">
        <v>170</v>
      </c>
      <c r="F189" s="179" t="s">
        <v>104</v>
      </c>
      <c r="G189" s="278" t="s">
        <v>171</v>
      </c>
      <c r="H189" s="166"/>
      <c r="I189" s="167"/>
      <c r="J189" s="168">
        <f t="shared" si="44"/>
        <v>722546</v>
      </c>
      <c r="K189" s="169">
        <f>1633500+25046-936000</f>
        <v>722546</v>
      </c>
      <c r="L189" s="169"/>
      <c r="M189" s="169"/>
    </row>
    <row r="190" spans="1:13" s="102" customFormat="1" ht="37.5" hidden="1" x14ac:dyDescent="0.3">
      <c r="A190" s="66" t="str">
        <f t="shared" si="27"/>
        <v/>
      </c>
      <c r="B190" s="67" t="s">
        <v>149</v>
      </c>
      <c r="C190" s="360"/>
      <c r="D190" s="260" t="s">
        <v>108</v>
      </c>
      <c r="E190" s="179" t="s">
        <v>109</v>
      </c>
      <c r="F190" s="179" t="s">
        <v>120</v>
      </c>
      <c r="G190" s="278" t="s">
        <v>110</v>
      </c>
      <c r="H190" s="166"/>
      <c r="I190" s="167"/>
      <c r="J190" s="168">
        <f>+K190+L190</f>
        <v>0</v>
      </c>
      <c r="K190" s="169"/>
      <c r="L190" s="169"/>
      <c r="M190" s="169"/>
    </row>
    <row r="191" spans="1:13" s="102" customFormat="1" ht="31.5" customHeight="1" x14ac:dyDescent="0.3">
      <c r="A191" s="66" t="str">
        <f t="shared" si="27"/>
        <v>п</v>
      </c>
      <c r="B191" s="67" t="s">
        <v>149</v>
      </c>
      <c r="C191" s="345"/>
      <c r="D191" s="260" t="s">
        <v>373</v>
      </c>
      <c r="E191" s="179" t="s">
        <v>374</v>
      </c>
      <c r="F191" s="179" t="s">
        <v>120</v>
      </c>
      <c r="G191" s="278" t="s">
        <v>51</v>
      </c>
      <c r="H191" s="166"/>
      <c r="I191" s="167"/>
      <c r="J191" s="168">
        <f t="shared" si="44"/>
        <v>230000</v>
      </c>
      <c r="K191" s="169">
        <v>230000</v>
      </c>
      <c r="L191" s="169"/>
      <c r="M191" s="169"/>
    </row>
    <row r="192" spans="1:13" s="139" customFormat="1" ht="19.5" hidden="1" x14ac:dyDescent="0.3">
      <c r="A192" s="66" t="str">
        <f t="shared" si="27"/>
        <v/>
      </c>
      <c r="B192" s="67" t="s">
        <v>149</v>
      </c>
      <c r="C192" s="348"/>
      <c r="D192" s="322"/>
      <c r="E192" s="258"/>
      <c r="F192" s="188"/>
      <c r="G192" s="123"/>
      <c r="H192" s="187"/>
      <c r="I192" s="190"/>
      <c r="J192" s="192">
        <f t="shared" si="44"/>
        <v>0</v>
      </c>
      <c r="K192" s="192"/>
      <c r="L192" s="257"/>
      <c r="M192" s="257"/>
    </row>
    <row r="193" spans="1:13" s="102" customFormat="1" hidden="1" x14ac:dyDescent="0.3">
      <c r="A193" s="66" t="str">
        <f t="shared" si="27"/>
        <v/>
      </c>
      <c r="B193" s="67" t="s">
        <v>149</v>
      </c>
      <c r="C193" s="360"/>
      <c r="D193" s="260"/>
      <c r="E193" s="261"/>
      <c r="F193" s="179"/>
      <c r="G193" s="278"/>
      <c r="H193" s="175"/>
      <c r="I193" s="167"/>
      <c r="J193" s="169">
        <f t="shared" si="44"/>
        <v>0</v>
      </c>
      <c r="K193" s="169"/>
      <c r="L193" s="361">
        <f>+L194+L195</f>
        <v>0</v>
      </c>
      <c r="M193" s="361"/>
    </row>
    <row r="194" spans="1:13" s="102" customFormat="1" ht="21.75" hidden="1" customHeight="1" x14ac:dyDescent="0.3">
      <c r="A194" s="66" t="str">
        <f t="shared" si="27"/>
        <v/>
      </c>
      <c r="B194" s="67" t="s">
        <v>149</v>
      </c>
      <c r="C194" s="67"/>
      <c r="D194" s="93"/>
      <c r="E194" s="120"/>
      <c r="F194" s="93"/>
      <c r="G194" s="94"/>
      <c r="H194" s="120"/>
      <c r="I194" s="96"/>
      <c r="J194" s="98">
        <f t="shared" si="44"/>
        <v>0</v>
      </c>
      <c r="K194" s="98"/>
      <c r="L194" s="98"/>
      <c r="M194" s="98"/>
    </row>
    <row r="195" spans="1:13" s="102" customFormat="1" ht="27.75" customHeight="1" x14ac:dyDescent="0.3">
      <c r="A195" s="66" t="str">
        <f t="shared" si="27"/>
        <v>п</v>
      </c>
      <c r="B195" s="67" t="s">
        <v>149</v>
      </c>
      <c r="C195" s="67"/>
      <c r="D195" s="260" t="s">
        <v>49</v>
      </c>
      <c r="E195" s="179" t="s">
        <v>50</v>
      </c>
      <c r="F195" s="179" t="s">
        <v>120</v>
      </c>
      <c r="G195" s="278" t="s">
        <v>51</v>
      </c>
      <c r="H195" s="166"/>
      <c r="I195" s="167"/>
      <c r="J195" s="168">
        <f t="shared" ref="J195:J196" si="45">+K195+L195</f>
        <v>401990</v>
      </c>
      <c r="K195" s="169">
        <f>407490-5500</f>
        <v>401990</v>
      </c>
      <c r="L195" s="169"/>
      <c r="M195" s="169"/>
    </row>
    <row r="196" spans="1:13" s="139" customFormat="1" ht="19.5" hidden="1" x14ac:dyDescent="0.3">
      <c r="A196" s="66" t="str">
        <f t="shared" si="27"/>
        <v/>
      </c>
      <c r="B196" s="67" t="s">
        <v>149</v>
      </c>
      <c r="C196" s="348"/>
      <c r="D196" s="322"/>
      <c r="E196" s="258"/>
      <c r="F196" s="188"/>
      <c r="G196" s="123" t="s">
        <v>10</v>
      </c>
      <c r="H196" s="187"/>
      <c r="I196" s="190"/>
      <c r="J196" s="192">
        <f t="shared" si="45"/>
        <v>0</v>
      </c>
      <c r="K196" s="192"/>
      <c r="L196" s="257"/>
      <c r="M196" s="257"/>
    </row>
    <row r="197" spans="1:13" s="102" customFormat="1" ht="35.25" hidden="1" customHeight="1" x14ac:dyDescent="0.3">
      <c r="A197" s="66" t="str">
        <f t="shared" si="27"/>
        <v/>
      </c>
      <c r="B197" s="67" t="s">
        <v>149</v>
      </c>
      <c r="C197" s="67"/>
      <c r="D197" s="93"/>
      <c r="E197" s="120"/>
      <c r="F197" s="93"/>
      <c r="G197" s="94"/>
      <c r="H197" s="120"/>
      <c r="I197" s="96"/>
      <c r="J197" s="98">
        <f t="shared" si="44"/>
        <v>0</v>
      </c>
      <c r="K197" s="98">
        <f>+K198+K199</f>
        <v>0</v>
      </c>
      <c r="L197" s="111">
        <f>+L198+L199</f>
        <v>0</v>
      </c>
      <c r="M197" s="111"/>
    </row>
    <row r="198" spans="1:13" s="102" customFormat="1" ht="18.75" hidden="1" customHeight="1" x14ac:dyDescent="0.3">
      <c r="A198" s="66" t="str">
        <f t="shared" si="27"/>
        <v/>
      </c>
      <c r="B198" s="67" t="s">
        <v>149</v>
      </c>
      <c r="C198" s="67"/>
      <c r="D198" s="93"/>
      <c r="E198" s="120"/>
      <c r="F198" s="93"/>
      <c r="G198" s="94"/>
      <c r="H198" s="120"/>
      <c r="I198" s="96"/>
      <c r="J198" s="98">
        <f t="shared" si="44"/>
        <v>0</v>
      </c>
      <c r="K198" s="98"/>
      <c r="L198" s="98"/>
      <c r="M198" s="98"/>
    </row>
    <row r="199" spans="1:13" s="102" customFormat="1" ht="36" hidden="1" customHeight="1" x14ac:dyDescent="0.3">
      <c r="A199" s="66" t="str">
        <f t="shared" si="27"/>
        <v/>
      </c>
      <c r="B199" s="67" t="s">
        <v>149</v>
      </c>
      <c r="C199" s="67"/>
      <c r="D199" s="93"/>
      <c r="E199" s="120"/>
      <c r="F199" s="93"/>
      <c r="G199" s="94"/>
      <c r="H199" s="120"/>
      <c r="I199" s="96"/>
      <c r="J199" s="98">
        <f t="shared" si="44"/>
        <v>0</v>
      </c>
      <c r="K199" s="98"/>
      <c r="L199" s="98"/>
      <c r="M199" s="98"/>
    </row>
    <row r="200" spans="1:13" s="102" customFormat="1" ht="21.95" hidden="1" customHeight="1" x14ac:dyDescent="0.3">
      <c r="A200" s="66" t="str">
        <f t="shared" si="27"/>
        <v/>
      </c>
      <c r="B200" s="67" t="s">
        <v>149</v>
      </c>
      <c r="C200" s="67"/>
      <c r="D200" s="93"/>
      <c r="E200" s="120"/>
      <c r="F200" s="93"/>
      <c r="G200" s="94"/>
      <c r="H200" s="120"/>
      <c r="I200" s="96"/>
      <c r="J200" s="98">
        <f t="shared" si="44"/>
        <v>0</v>
      </c>
      <c r="K200" s="98"/>
      <c r="L200" s="98"/>
      <c r="M200" s="98"/>
    </row>
    <row r="201" spans="1:13" s="102" customFormat="1" ht="56.25" hidden="1" x14ac:dyDescent="0.3">
      <c r="A201" s="66" t="str">
        <f t="shared" si="27"/>
        <v/>
      </c>
      <c r="B201" s="67" t="s">
        <v>149</v>
      </c>
      <c r="C201" s="67"/>
      <c r="D201" s="93" t="s">
        <v>52</v>
      </c>
      <c r="E201" s="314" t="s">
        <v>53</v>
      </c>
      <c r="F201" s="275" t="s">
        <v>120</v>
      </c>
      <c r="G201" s="94" t="s">
        <v>54</v>
      </c>
      <c r="H201" s="95"/>
      <c r="I201" s="96"/>
      <c r="J201" s="97">
        <f t="shared" si="44"/>
        <v>0</v>
      </c>
      <c r="K201" s="98"/>
      <c r="L201" s="98"/>
      <c r="M201" s="98"/>
    </row>
    <row r="202" spans="1:13" s="102" customFormat="1" ht="27.75" customHeight="1" thickBot="1" x14ac:dyDescent="0.35">
      <c r="A202" s="66" t="str">
        <f t="shared" si="27"/>
        <v>п</v>
      </c>
      <c r="B202" s="67" t="s">
        <v>149</v>
      </c>
      <c r="C202" s="67"/>
      <c r="D202" s="93" t="s">
        <v>55</v>
      </c>
      <c r="E202" s="120" t="s">
        <v>56</v>
      </c>
      <c r="F202" s="93" t="s">
        <v>120</v>
      </c>
      <c r="G202" s="94" t="s">
        <v>57</v>
      </c>
      <c r="H202" s="95"/>
      <c r="I202" s="96"/>
      <c r="J202" s="97">
        <f>+K202+L202</f>
        <v>116915977</v>
      </c>
      <c r="K202" s="98">
        <f>106242000-16090701+8919634+3578784-109978-705000+936000+6300000+1600000-196182+1051170</f>
        <v>111525727</v>
      </c>
      <c r="L202" s="98">
        <f>4398270-3577770+3558590+109978+705000+196182</f>
        <v>5390250</v>
      </c>
      <c r="M202" s="98">
        <f>4398270-3577770+3558590+109978+705000+196182</f>
        <v>5390250</v>
      </c>
    </row>
    <row r="203" spans="1:13" s="139" customFormat="1" ht="39" hidden="1" customHeight="1" x14ac:dyDescent="0.3">
      <c r="A203" s="66" t="str">
        <f t="shared" si="27"/>
        <v/>
      </c>
      <c r="B203" s="67" t="s">
        <v>149</v>
      </c>
      <c r="C203" s="317"/>
      <c r="D203" s="122"/>
      <c r="E203" s="124"/>
      <c r="F203" s="122"/>
      <c r="G203" s="123" t="s">
        <v>10</v>
      </c>
      <c r="H203" s="185"/>
      <c r="I203" s="125"/>
      <c r="J203" s="126">
        <f t="shared" si="44"/>
        <v>0</v>
      </c>
      <c r="K203" s="127"/>
      <c r="L203" s="192"/>
      <c r="M203" s="192"/>
    </row>
    <row r="204" spans="1:13" s="102" customFormat="1" ht="39" hidden="1" customHeight="1" x14ac:dyDescent="0.3">
      <c r="A204" s="344" t="str">
        <f t="shared" si="27"/>
        <v/>
      </c>
      <c r="B204" s="345" t="s">
        <v>149</v>
      </c>
      <c r="C204" s="345"/>
      <c r="D204" s="93" t="s">
        <v>176</v>
      </c>
      <c r="E204" s="120" t="s">
        <v>177</v>
      </c>
      <c r="F204" s="93" t="s">
        <v>173</v>
      </c>
      <c r="G204" s="278" t="s">
        <v>178</v>
      </c>
      <c r="H204" s="95"/>
      <c r="I204" s="96"/>
      <c r="J204" s="97">
        <f>+K204+L204</f>
        <v>0</v>
      </c>
      <c r="K204" s="98"/>
      <c r="L204" s="169"/>
      <c r="M204" s="169"/>
    </row>
    <row r="205" spans="1:13" s="102" customFormat="1" ht="38.25" hidden="1" thickBot="1" x14ac:dyDescent="0.35">
      <c r="A205" s="66" t="str">
        <f t="shared" si="27"/>
        <v/>
      </c>
      <c r="B205" s="67" t="s">
        <v>149</v>
      </c>
      <c r="C205" s="67"/>
      <c r="D205" s="93" t="s">
        <v>66</v>
      </c>
      <c r="E205" s="120" t="s">
        <v>67</v>
      </c>
      <c r="F205" s="93" t="s">
        <v>123</v>
      </c>
      <c r="G205" s="94" t="s">
        <v>68</v>
      </c>
      <c r="H205" s="95"/>
      <c r="I205" s="96"/>
      <c r="J205" s="97">
        <f t="shared" si="44"/>
        <v>0</v>
      </c>
      <c r="K205" s="98"/>
      <c r="L205" s="169"/>
      <c r="M205" s="169"/>
    </row>
    <row r="206" spans="1:13" s="102" customFormat="1" ht="62.25" hidden="1" customHeight="1" x14ac:dyDescent="0.3">
      <c r="A206" s="66"/>
      <c r="B206" s="67" t="s">
        <v>149</v>
      </c>
      <c r="C206" s="67"/>
      <c r="D206" s="93" t="s">
        <v>165</v>
      </c>
      <c r="E206" s="120">
        <v>7461</v>
      </c>
      <c r="F206" s="93" t="s">
        <v>124</v>
      </c>
      <c r="G206" s="94" t="s">
        <v>166</v>
      </c>
      <c r="H206" s="120"/>
      <c r="I206" s="96"/>
      <c r="J206" s="98">
        <f t="shared" si="44"/>
        <v>0</v>
      </c>
      <c r="K206" s="98"/>
      <c r="L206" s="98">
        <f>50000-50000</f>
        <v>0</v>
      </c>
      <c r="M206" s="98"/>
    </row>
    <row r="207" spans="1:13" s="102" customFormat="1" ht="19.5" hidden="1" thickBot="1" x14ac:dyDescent="0.35">
      <c r="A207" s="66" t="str">
        <f t="shared" si="27"/>
        <v/>
      </c>
      <c r="B207" s="67" t="s">
        <v>149</v>
      </c>
      <c r="C207" s="67"/>
      <c r="D207" s="93">
        <v>1218340</v>
      </c>
      <c r="E207" s="120">
        <v>8340</v>
      </c>
      <c r="F207" s="93" t="s">
        <v>168</v>
      </c>
      <c r="G207" s="94" t="s">
        <v>167</v>
      </c>
      <c r="H207" s="95"/>
      <c r="I207" s="96"/>
      <c r="J207" s="97">
        <f t="shared" si="44"/>
        <v>0</v>
      </c>
      <c r="K207" s="98"/>
      <c r="L207" s="98"/>
      <c r="M207" s="98"/>
    </row>
    <row r="208" spans="1:13" s="102" customFormat="1" ht="26.25" hidden="1" customHeight="1" x14ac:dyDescent="0.3">
      <c r="A208" s="66" t="str">
        <f t="shared" si="27"/>
        <v/>
      </c>
      <c r="B208" s="67" t="s">
        <v>146</v>
      </c>
      <c r="C208" s="67"/>
      <c r="D208" s="129" t="s">
        <v>15</v>
      </c>
      <c r="E208" s="129"/>
      <c r="F208" s="129"/>
      <c r="G208" s="86" t="s">
        <v>359</v>
      </c>
      <c r="H208" s="166"/>
      <c r="I208" s="167"/>
      <c r="J208" s="108">
        <f t="shared" si="44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26.25" hidden="1" customHeight="1" x14ac:dyDescent="0.3">
      <c r="A209" s="66" t="str">
        <f t="shared" ref="A209:A279" si="46">IF(J209=0,"","п")</f>
        <v/>
      </c>
      <c r="B209" s="67" t="s">
        <v>146</v>
      </c>
      <c r="C209" s="67"/>
      <c r="D209" s="84" t="s">
        <v>14</v>
      </c>
      <c r="E209" s="84"/>
      <c r="F209" s="84"/>
      <c r="G209" s="86" t="s">
        <v>359</v>
      </c>
      <c r="H209" s="268"/>
      <c r="I209" s="362"/>
      <c r="J209" s="162">
        <f t="shared" si="44"/>
        <v>0</v>
      </c>
      <c r="K209" s="163">
        <f>+K210</f>
        <v>0</v>
      </c>
      <c r="L209" s="170">
        <f>+L210</f>
        <v>0</v>
      </c>
      <c r="M209" s="170"/>
    </row>
    <row r="210" spans="1:13" s="102" customFormat="1" ht="45.75" hidden="1" customHeight="1" x14ac:dyDescent="0.3">
      <c r="A210" s="66" t="str">
        <f t="shared" si="46"/>
        <v/>
      </c>
      <c r="B210" s="67" t="s">
        <v>146</v>
      </c>
      <c r="C210" s="67"/>
      <c r="D210" s="116" t="s">
        <v>58</v>
      </c>
      <c r="E210" s="120" t="s">
        <v>59</v>
      </c>
      <c r="F210" s="93" t="s">
        <v>122</v>
      </c>
      <c r="G210" s="94" t="s">
        <v>60</v>
      </c>
      <c r="H210" s="95"/>
      <c r="I210" s="96"/>
      <c r="J210" s="97">
        <f t="shared" si="44"/>
        <v>0</v>
      </c>
      <c r="K210" s="98"/>
      <c r="L210" s="177"/>
      <c r="M210" s="177"/>
    </row>
    <row r="211" spans="1:13" s="102" customFormat="1" ht="39.75" hidden="1" thickBot="1" x14ac:dyDescent="0.35">
      <c r="A211" s="66" t="str">
        <f t="shared" si="46"/>
        <v/>
      </c>
      <c r="B211" s="67" t="s">
        <v>150</v>
      </c>
      <c r="C211" s="67"/>
      <c r="D211" s="104">
        <v>3700000</v>
      </c>
      <c r="E211" s="175"/>
      <c r="F211" s="179"/>
      <c r="G211" s="105" t="s">
        <v>367</v>
      </c>
      <c r="H211" s="175"/>
      <c r="I211" s="167"/>
      <c r="J211" s="169">
        <f t="shared" si="44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6"/>
        <v/>
      </c>
      <c r="B212" s="67" t="s">
        <v>150</v>
      </c>
      <c r="C212" s="67"/>
      <c r="D212" s="150">
        <v>3710000</v>
      </c>
      <c r="E212" s="138"/>
      <c r="F212" s="115"/>
      <c r="G212" s="105" t="s">
        <v>367</v>
      </c>
      <c r="H212" s="138"/>
      <c r="I212" s="134"/>
      <c r="J212" s="136">
        <f t="shared" si="44"/>
        <v>0</v>
      </c>
      <c r="K212" s="153">
        <f>+K213</f>
        <v>0</v>
      </c>
      <c r="L212" s="363">
        <f>+L213</f>
        <v>0</v>
      </c>
      <c r="M212" s="363"/>
    </row>
    <row r="213" spans="1:13" s="102" customFormat="1" ht="277.5" hidden="1" customHeight="1" thickBot="1" x14ac:dyDescent="0.35">
      <c r="A213" s="66" t="str">
        <f t="shared" si="46"/>
        <v/>
      </c>
      <c r="B213" s="67" t="s">
        <v>150</v>
      </c>
      <c r="C213" s="67"/>
      <c r="D213" s="277">
        <v>3716072</v>
      </c>
      <c r="E213" s="262">
        <v>6072</v>
      </c>
      <c r="F213" s="276" t="s">
        <v>173</v>
      </c>
      <c r="G213" s="311" t="s">
        <v>172</v>
      </c>
      <c r="H213" s="262"/>
      <c r="I213" s="364"/>
      <c r="J213" s="178">
        <f t="shared" si="44"/>
        <v>0</v>
      </c>
      <c r="K213" s="178"/>
      <c r="L213" s="365"/>
      <c r="M213" s="365"/>
    </row>
    <row r="214" spans="1:13" s="12" customFormat="1" ht="64.5" customHeight="1" x14ac:dyDescent="0.25">
      <c r="A214" s="9" t="str">
        <f t="shared" si="46"/>
        <v>п</v>
      </c>
      <c r="B214" s="67"/>
      <c r="C214" s="10"/>
      <c r="D214" s="77"/>
      <c r="E214" s="76"/>
      <c r="F214" s="77"/>
      <c r="G214" s="78"/>
      <c r="H214" s="79" t="s">
        <v>307</v>
      </c>
      <c r="I214" s="80" t="s">
        <v>399</v>
      </c>
      <c r="J214" s="81">
        <f t="shared" si="44"/>
        <v>41000</v>
      </c>
      <c r="K214" s="82">
        <f t="shared" ref="K214:M215" si="47">+K215</f>
        <v>41000</v>
      </c>
      <c r="L214" s="83">
        <f t="shared" si="47"/>
        <v>0</v>
      </c>
      <c r="M214" s="83">
        <f t="shared" si="47"/>
        <v>0</v>
      </c>
    </row>
    <row r="215" spans="1:13" s="19" customFormat="1" ht="39" x14ac:dyDescent="0.25">
      <c r="A215" s="9" t="str">
        <f t="shared" si="46"/>
        <v>п</v>
      </c>
      <c r="B215" s="67" t="s">
        <v>310</v>
      </c>
      <c r="C215" s="10"/>
      <c r="D215" s="129" t="s">
        <v>308</v>
      </c>
      <c r="E215" s="104"/>
      <c r="F215" s="104"/>
      <c r="G215" s="105" t="s">
        <v>366</v>
      </c>
      <c r="H215" s="106"/>
      <c r="I215" s="107"/>
      <c r="J215" s="108">
        <f t="shared" si="44"/>
        <v>41000</v>
      </c>
      <c r="K215" s="109">
        <f t="shared" si="47"/>
        <v>41000</v>
      </c>
      <c r="L215" s="109">
        <f t="shared" si="47"/>
        <v>0</v>
      </c>
      <c r="M215" s="109">
        <f t="shared" si="47"/>
        <v>0</v>
      </c>
    </row>
    <row r="216" spans="1:13" s="19" customFormat="1" ht="39" x14ac:dyDescent="0.25">
      <c r="A216" s="9" t="str">
        <f t="shared" si="46"/>
        <v>п</v>
      </c>
      <c r="B216" s="67" t="s">
        <v>310</v>
      </c>
      <c r="C216" s="10"/>
      <c r="D216" s="84" t="s">
        <v>309</v>
      </c>
      <c r="E216" s="85"/>
      <c r="F216" s="85"/>
      <c r="G216" s="105" t="s">
        <v>366</v>
      </c>
      <c r="H216" s="87"/>
      <c r="I216" s="88"/>
      <c r="J216" s="89">
        <f t="shared" si="44"/>
        <v>41000</v>
      </c>
      <c r="K216" s="90">
        <f>SUM(K217:K218)</f>
        <v>41000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6"/>
        <v>п</v>
      </c>
      <c r="B217" s="67" t="s">
        <v>310</v>
      </c>
      <c r="C217" s="10"/>
      <c r="D217" s="260" t="s">
        <v>311</v>
      </c>
      <c r="E217" s="179" t="s">
        <v>86</v>
      </c>
      <c r="F217" s="179" t="s">
        <v>87</v>
      </c>
      <c r="G217" s="278" t="s">
        <v>88</v>
      </c>
      <c r="H217" s="160"/>
      <c r="I217" s="161"/>
      <c r="J217" s="343">
        <f>+K217+L217</f>
        <v>41000</v>
      </c>
      <c r="K217" s="272">
        <v>41000</v>
      </c>
      <c r="L217" s="272"/>
      <c r="M217" s="272"/>
    </row>
    <row r="218" spans="1:13" s="12" customFormat="1" ht="38.25" hidden="1" thickBot="1" x14ac:dyDescent="0.3">
      <c r="A218" s="9" t="str">
        <f>IF(J218=0,"","п")</f>
        <v/>
      </c>
      <c r="B218" s="67" t="s">
        <v>310</v>
      </c>
      <c r="C218" s="10"/>
      <c r="D218" s="93" t="s">
        <v>312</v>
      </c>
      <c r="E218" s="120">
        <v>7350</v>
      </c>
      <c r="F218" s="93" t="s">
        <v>123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57" customHeight="1" x14ac:dyDescent="0.25">
      <c r="A219" s="9" t="str">
        <f t="shared" si="46"/>
        <v>п</v>
      </c>
      <c r="B219" s="10"/>
      <c r="C219" s="10"/>
      <c r="D219" s="77"/>
      <c r="E219" s="76"/>
      <c r="F219" s="77"/>
      <c r="G219" s="312"/>
      <c r="H219" s="79" t="s">
        <v>335</v>
      </c>
      <c r="I219" s="80" t="s">
        <v>349</v>
      </c>
      <c r="J219" s="81">
        <f t="shared" si="44"/>
        <v>31322201</v>
      </c>
      <c r="K219" s="82">
        <f>K220</f>
        <v>30938201</v>
      </c>
      <c r="L219" s="82">
        <f>+L220</f>
        <v>384000</v>
      </c>
      <c r="M219" s="82">
        <f>+M220</f>
        <v>0</v>
      </c>
    </row>
    <row r="220" spans="1:13" s="19" customFormat="1" ht="23.25" customHeight="1" x14ac:dyDescent="0.25">
      <c r="A220" s="9" t="str">
        <f t="shared" si="46"/>
        <v>п</v>
      </c>
      <c r="B220" s="67" t="s">
        <v>146</v>
      </c>
      <c r="C220" s="10"/>
      <c r="D220" s="129" t="s">
        <v>15</v>
      </c>
      <c r="E220" s="104"/>
      <c r="F220" s="104"/>
      <c r="G220" s="86" t="s">
        <v>364</v>
      </c>
      <c r="H220" s="106"/>
      <c r="I220" s="107"/>
      <c r="J220" s="108">
        <f t="shared" si="44"/>
        <v>31322201</v>
      </c>
      <c r="K220" s="109">
        <f t="shared" ref="K220:M220" si="48">+K221</f>
        <v>30938201</v>
      </c>
      <c r="L220" s="109">
        <f t="shared" si="48"/>
        <v>384000</v>
      </c>
      <c r="M220" s="109">
        <f t="shared" si="48"/>
        <v>0</v>
      </c>
    </row>
    <row r="221" spans="1:13" s="19" customFormat="1" ht="23.25" customHeight="1" x14ac:dyDescent="0.25">
      <c r="A221" s="9" t="str">
        <f t="shared" si="46"/>
        <v>п</v>
      </c>
      <c r="B221" s="67" t="s">
        <v>146</v>
      </c>
      <c r="C221" s="10"/>
      <c r="D221" s="84" t="s">
        <v>14</v>
      </c>
      <c r="E221" s="85"/>
      <c r="F221" s="85"/>
      <c r="G221" s="86" t="s">
        <v>364</v>
      </c>
      <c r="H221" s="87"/>
      <c r="I221" s="88"/>
      <c r="J221" s="89">
        <f t="shared" si="44"/>
        <v>31322201</v>
      </c>
      <c r="K221" s="90">
        <f>SUM(K222)</f>
        <v>30938201</v>
      </c>
      <c r="L221" s="90">
        <f t="shared" ref="L221:M221" si="49">SUM(L222)</f>
        <v>384000</v>
      </c>
      <c r="M221" s="90">
        <f t="shared" si="49"/>
        <v>0</v>
      </c>
    </row>
    <row r="222" spans="1:13" s="12" customFormat="1" ht="107.25" customHeight="1" thickBot="1" x14ac:dyDescent="0.3">
      <c r="A222" s="66" t="str">
        <f t="shared" si="46"/>
        <v>п</v>
      </c>
      <c r="B222" s="67" t="s">
        <v>146</v>
      </c>
      <c r="C222" s="67"/>
      <c r="D222" s="93" t="s">
        <v>39</v>
      </c>
      <c r="E222" s="120">
        <v>3121</v>
      </c>
      <c r="F222" s="93" t="s">
        <v>129</v>
      </c>
      <c r="G222" s="119" t="s">
        <v>375</v>
      </c>
      <c r="H222" s="95"/>
      <c r="I222" s="96"/>
      <c r="J222" s="97">
        <f t="shared" si="44"/>
        <v>31322201</v>
      </c>
      <c r="K222" s="98">
        <f>23336001+2081797+458003+5000000+62400</f>
        <v>30938201</v>
      </c>
      <c r="L222" s="98">
        <v>384000</v>
      </c>
      <c r="M222" s="98"/>
    </row>
    <row r="223" spans="1:13" s="102" customFormat="1" ht="79.5" customHeight="1" x14ac:dyDescent="0.3">
      <c r="A223" s="66" t="str">
        <f t="shared" si="46"/>
        <v>п</v>
      </c>
      <c r="B223" s="67"/>
      <c r="C223" s="10"/>
      <c r="D223" s="77"/>
      <c r="E223" s="76"/>
      <c r="F223" s="77"/>
      <c r="G223" s="78"/>
      <c r="H223" s="79" t="s">
        <v>330</v>
      </c>
      <c r="I223" s="80" t="s">
        <v>331</v>
      </c>
      <c r="J223" s="81">
        <f t="shared" si="44"/>
        <v>15284000</v>
      </c>
      <c r="K223" s="82">
        <f>+K224</f>
        <v>9761300</v>
      </c>
      <c r="L223" s="82">
        <f>+L224</f>
        <v>5522700</v>
      </c>
      <c r="M223" s="82">
        <f>+M224</f>
        <v>5522700</v>
      </c>
    </row>
    <row r="224" spans="1:13" s="103" customFormat="1" ht="24" customHeight="1" x14ac:dyDescent="0.3">
      <c r="A224" s="66" t="str">
        <f t="shared" si="46"/>
        <v>п</v>
      </c>
      <c r="B224" s="67" t="s">
        <v>146</v>
      </c>
      <c r="C224" s="10"/>
      <c r="D224" s="84" t="s">
        <v>15</v>
      </c>
      <c r="E224" s="84"/>
      <c r="F224" s="84"/>
      <c r="G224" s="86" t="s">
        <v>364</v>
      </c>
      <c r="H224" s="106"/>
      <c r="I224" s="107"/>
      <c r="J224" s="108">
        <f t="shared" si="44"/>
        <v>15284000</v>
      </c>
      <c r="K224" s="109">
        <f>K225</f>
        <v>9761300</v>
      </c>
      <c r="L224" s="109">
        <f t="shared" ref="L224:M224" si="50">L225</f>
        <v>5522700</v>
      </c>
      <c r="M224" s="109">
        <f t="shared" si="50"/>
        <v>5522700</v>
      </c>
    </row>
    <row r="225" spans="1:19" s="103" customFormat="1" ht="24" customHeight="1" x14ac:dyDescent="0.3">
      <c r="A225" s="66" t="str">
        <f t="shared" si="46"/>
        <v>п</v>
      </c>
      <c r="B225" s="67" t="s">
        <v>146</v>
      </c>
      <c r="C225" s="10"/>
      <c r="D225" s="84" t="s">
        <v>14</v>
      </c>
      <c r="E225" s="84"/>
      <c r="F225" s="84"/>
      <c r="G225" s="86" t="s">
        <v>364</v>
      </c>
      <c r="H225" s="160"/>
      <c r="I225" s="161"/>
      <c r="J225" s="162">
        <f>+K225+L225</f>
        <v>15284000</v>
      </c>
      <c r="K225" s="163">
        <f>K226+K229+K228+K227</f>
        <v>9761300</v>
      </c>
      <c r="L225" s="170">
        <f t="shared" ref="L225:M225" si="51">L226+L229+L228+L227</f>
        <v>5522700</v>
      </c>
      <c r="M225" s="170">
        <f t="shared" si="51"/>
        <v>5522700</v>
      </c>
    </row>
    <row r="226" spans="1:19" s="102" customFormat="1" ht="26.25" hidden="1" customHeight="1" x14ac:dyDescent="0.3">
      <c r="A226" s="66" t="str">
        <f t="shared" si="46"/>
        <v/>
      </c>
      <c r="B226" s="67" t="s">
        <v>146</v>
      </c>
      <c r="C226" s="10"/>
      <c r="D226" s="93" t="s">
        <v>254</v>
      </c>
      <c r="E226" s="120" t="s">
        <v>255</v>
      </c>
      <c r="F226" s="93" t="s">
        <v>256</v>
      </c>
      <c r="G226" s="94" t="s">
        <v>257</v>
      </c>
      <c r="H226" s="95"/>
      <c r="I226" s="96"/>
      <c r="J226" s="97">
        <f t="shared" si="44"/>
        <v>0</v>
      </c>
      <c r="K226" s="98">
        <f>1000000-1000000</f>
        <v>0</v>
      </c>
      <c r="L226" s="98"/>
      <c r="M226" s="98"/>
    </row>
    <row r="227" spans="1:19" s="139" customFormat="1" ht="45" hidden="1" customHeight="1" x14ac:dyDescent="0.3">
      <c r="A227" s="66" t="str">
        <f t="shared" si="46"/>
        <v/>
      </c>
      <c r="B227" s="67" t="s">
        <v>146</v>
      </c>
      <c r="C227" s="29"/>
      <c r="D227" s="93" t="s">
        <v>302</v>
      </c>
      <c r="E227" s="120">
        <v>8230</v>
      </c>
      <c r="F227" s="93" t="s">
        <v>256</v>
      </c>
      <c r="G227" s="94" t="s">
        <v>283</v>
      </c>
      <c r="H227" s="95"/>
      <c r="I227" s="96"/>
      <c r="J227" s="97">
        <f t="shared" si="44"/>
        <v>0</v>
      </c>
      <c r="K227" s="98"/>
      <c r="L227" s="98"/>
      <c r="M227" s="98"/>
    </row>
    <row r="228" spans="1:19" s="102" customFormat="1" ht="27.75" customHeight="1" x14ac:dyDescent="0.3">
      <c r="A228" s="66" t="str">
        <f t="shared" ref="A228" si="52">IF(J228=0,"","п")</f>
        <v>п</v>
      </c>
      <c r="B228" s="67" t="s">
        <v>146</v>
      </c>
      <c r="C228" s="10"/>
      <c r="D228" s="179" t="s">
        <v>61</v>
      </c>
      <c r="E228" s="389">
        <v>9770</v>
      </c>
      <c r="F228" s="390" t="s">
        <v>125</v>
      </c>
      <c r="G228" s="391" t="s">
        <v>63</v>
      </c>
      <c r="H228" s="268"/>
      <c r="I228" s="362"/>
      <c r="J228" s="343">
        <f t="shared" si="44"/>
        <v>1000000</v>
      </c>
      <c r="K228" s="272">
        <v>400000</v>
      </c>
      <c r="L228" s="272">
        <v>600000</v>
      </c>
      <c r="M228" s="272">
        <v>600000</v>
      </c>
    </row>
    <row r="229" spans="1:19" s="102" customFormat="1" ht="66.75" customHeight="1" thickBot="1" x14ac:dyDescent="0.35">
      <c r="A229" s="66" t="str">
        <f t="shared" si="46"/>
        <v>п</v>
      </c>
      <c r="B229" s="67" t="s">
        <v>146</v>
      </c>
      <c r="C229" s="10"/>
      <c r="D229" s="93" t="s">
        <v>78</v>
      </c>
      <c r="E229" s="120">
        <v>9800</v>
      </c>
      <c r="F229" s="93" t="s">
        <v>125</v>
      </c>
      <c r="G229" s="94" t="s">
        <v>80</v>
      </c>
      <c r="H229" s="95"/>
      <c r="I229" s="96"/>
      <c r="J229" s="97">
        <f t="shared" si="44"/>
        <v>14284000</v>
      </c>
      <c r="K229" s="98">
        <f>7500000+2837300-1000000+24000</f>
        <v>9361300</v>
      </c>
      <c r="L229" s="98">
        <f>2900000+1022700+1000000</f>
        <v>4922700</v>
      </c>
      <c r="M229" s="98">
        <f>2900000+1022700+1000000</f>
        <v>4922700</v>
      </c>
    </row>
    <row r="230" spans="1:19" s="19" customFormat="1" ht="59.25" customHeight="1" x14ac:dyDescent="0.25">
      <c r="A230" s="9" t="str">
        <f t="shared" si="46"/>
        <v>п</v>
      </c>
      <c r="B230" s="10"/>
      <c r="C230" s="10"/>
      <c r="D230" s="140"/>
      <c r="E230" s="78"/>
      <c r="F230" s="140"/>
      <c r="G230" s="78"/>
      <c r="H230" s="79" t="s">
        <v>291</v>
      </c>
      <c r="I230" s="385" t="s">
        <v>393</v>
      </c>
      <c r="J230" s="81">
        <f t="shared" si="44"/>
        <v>978384</v>
      </c>
      <c r="K230" s="82">
        <f>K231</f>
        <v>978384</v>
      </c>
      <c r="L230" s="11">
        <f>L231</f>
        <v>0</v>
      </c>
      <c r="M230" s="11">
        <f>M231</f>
        <v>0</v>
      </c>
    </row>
    <row r="231" spans="1:19" s="19" customFormat="1" ht="24" customHeight="1" x14ac:dyDescent="0.25">
      <c r="A231" s="9" t="str">
        <f t="shared" ref="A231:A233" si="53">IF(J231=0,"","п")</f>
        <v>п</v>
      </c>
      <c r="B231" s="67" t="s">
        <v>150</v>
      </c>
      <c r="C231" s="10"/>
      <c r="D231" s="104" t="s">
        <v>189</v>
      </c>
      <c r="E231" s="104"/>
      <c r="F231" s="104"/>
      <c r="G231" s="105" t="s">
        <v>365</v>
      </c>
      <c r="H231" s="87"/>
      <c r="I231" s="88"/>
      <c r="J231" s="89">
        <f>+K231+L231</f>
        <v>978384</v>
      </c>
      <c r="K231" s="90">
        <f>K233</f>
        <v>978384</v>
      </c>
      <c r="L231" s="90">
        <f>L233</f>
        <v>0</v>
      </c>
      <c r="M231" s="90">
        <f>M233</f>
        <v>0</v>
      </c>
    </row>
    <row r="232" spans="1:19" s="19" customFormat="1" ht="24" customHeight="1" x14ac:dyDescent="0.25">
      <c r="A232" s="9" t="str">
        <f t="shared" si="53"/>
        <v>п</v>
      </c>
      <c r="B232" s="67" t="s">
        <v>150</v>
      </c>
      <c r="C232" s="10"/>
      <c r="D232" s="174" t="s">
        <v>190</v>
      </c>
      <c r="E232" s="174"/>
      <c r="F232" s="174"/>
      <c r="G232" s="105" t="s">
        <v>365</v>
      </c>
      <c r="H232" s="130"/>
      <c r="I232" s="131"/>
      <c r="J232" s="132">
        <f t="shared" ref="J232:J233" si="54">+K232+L232</f>
        <v>978384</v>
      </c>
      <c r="K232" s="153">
        <f>SUM(K233:K233)</f>
        <v>978384</v>
      </c>
      <c r="L232" s="153">
        <f>SUM(L233:L233)</f>
        <v>0</v>
      </c>
      <c r="M232" s="153">
        <f>SUM(M233:M233)</f>
        <v>0</v>
      </c>
    </row>
    <row r="233" spans="1:19" s="19" customFormat="1" ht="27.75" customHeight="1" thickBot="1" x14ac:dyDescent="0.3">
      <c r="A233" s="9" t="str">
        <f t="shared" si="53"/>
        <v>п</v>
      </c>
      <c r="B233" s="67" t="s">
        <v>150</v>
      </c>
      <c r="C233" s="10"/>
      <c r="D233" s="115" t="s">
        <v>229</v>
      </c>
      <c r="E233" s="115" t="s">
        <v>230</v>
      </c>
      <c r="F233" s="115" t="s">
        <v>231</v>
      </c>
      <c r="G233" s="308" t="s">
        <v>232</v>
      </c>
      <c r="H233" s="133"/>
      <c r="I233" s="134"/>
      <c r="J233" s="135">
        <f t="shared" si="54"/>
        <v>978384</v>
      </c>
      <c r="K233" s="136">
        <f>14526091-11920000-1627707</f>
        <v>978384</v>
      </c>
      <c r="L233" s="136"/>
      <c r="M233" s="136"/>
      <c r="S233" s="34"/>
    </row>
    <row r="234" spans="1:19" s="19" customFormat="1" ht="66.75" customHeight="1" x14ac:dyDescent="0.25">
      <c r="A234" s="9" t="str">
        <f t="shared" si="46"/>
        <v>п</v>
      </c>
      <c r="B234" s="67"/>
      <c r="C234" s="10"/>
      <c r="D234" s="140"/>
      <c r="E234" s="78"/>
      <c r="F234" s="140"/>
      <c r="G234" s="78"/>
      <c r="H234" s="79" t="s">
        <v>379</v>
      </c>
      <c r="I234" s="80" t="s">
        <v>394</v>
      </c>
      <c r="J234" s="81">
        <f t="shared" si="44"/>
        <v>5127707</v>
      </c>
      <c r="K234" s="82">
        <f>K235</f>
        <v>5127707</v>
      </c>
      <c r="L234" s="82">
        <f>L235</f>
        <v>0</v>
      </c>
      <c r="M234" s="82">
        <f>M235</f>
        <v>0</v>
      </c>
    </row>
    <row r="235" spans="1:19" s="19" customFormat="1" ht="22.5" customHeight="1" x14ac:dyDescent="0.25">
      <c r="A235" s="9" t="str">
        <f t="shared" si="46"/>
        <v>п</v>
      </c>
      <c r="B235" s="67" t="s">
        <v>150</v>
      </c>
      <c r="C235" s="10"/>
      <c r="D235" s="104" t="s">
        <v>189</v>
      </c>
      <c r="E235" s="104"/>
      <c r="F235" s="104"/>
      <c r="G235" s="105" t="s">
        <v>365</v>
      </c>
      <c r="H235" s="87"/>
      <c r="I235" s="88"/>
      <c r="J235" s="89">
        <f>+K235+L235</f>
        <v>5127707</v>
      </c>
      <c r="K235" s="90">
        <f>K237</f>
        <v>5127707</v>
      </c>
      <c r="L235" s="90">
        <f>L237</f>
        <v>0</v>
      </c>
      <c r="M235" s="90">
        <f>M237</f>
        <v>0</v>
      </c>
    </row>
    <row r="236" spans="1:19" s="19" customFormat="1" ht="22.5" customHeight="1" x14ac:dyDescent="0.25">
      <c r="A236" s="9" t="str">
        <f t="shared" si="46"/>
        <v>п</v>
      </c>
      <c r="B236" s="67" t="s">
        <v>150</v>
      </c>
      <c r="C236" s="10"/>
      <c r="D236" s="174" t="s">
        <v>190</v>
      </c>
      <c r="E236" s="174"/>
      <c r="F236" s="174"/>
      <c r="G236" s="105" t="s">
        <v>365</v>
      </c>
      <c r="H236" s="130"/>
      <c r="I236" s="131"/>
      <c r="J236" s="132">
        <f t="shared" si="44"/>
        <v>5127707</v>
      </c>
      <c r="K236" s="153">
        <f>SUM(K237:K237)</f>
        <v>5127707</v>
      </c>
      <c r="L236" s="153">
        <f>SUM(L237:L237)</f>
        <v>0</v>
      </c>
      <c r="M236" s="153">
        <f>SUM(M237:M237)</f>
        <v>0</v>
      </c>
    </row>
    <row r="237" spans="1:19" s="19" customFormat="1" ht="27.75" customHeight="1" thickBot="1" x14ac:dyDescent="0.3">
      <c r="A237" s="9" t="str">
        <f t="shared" si="46"/>
        <v>п</v>
      </c>
      <c r="B237" s="67" t="s">
        <v>150</v>
      </c>
      <c r="C237" s="10"/>
      <c r="D237" s="115" t="s">
        <v>229</v>
      </c>
      <c r="E237" s="115" t="s">
        <v>230</v>
      </c>
      <c r="F237" s="115" t="s">
        <v>231</v>
      </c>
      <c r="G237" s="308" t="s">
        <v>232</v>
      </c>
      <c r="H237" s="133"/>
      <c r="I237" s="134"/>
      <c r="J237" s="135">
        <f t="shared" si="44"/>
        <v>5127707</v>
      </c>
      <c r="K237" s="136">
        <f>1627707+3500000</f>
        <v>5127707</v>
      </c>
      <c r="L237" s="136"/>
      <c r="M237" s="136"/>
    </row>
    <row r="238" spans="1:19" s="103" customFormat="1" ht="60" customHeight="1" x14ac:dyDescent="0.3">
      <c r="A238" s="66" t="str">
        <f t="shared" si="46"/>
        <v>п</v>
      </c>
      <c r="B238" s="67"/>
      <c r="C238" s="10"/>
      <c r="D238" s="140"/>
      <c r="E238" s="78"/>
      <c r="F238" s="140"/>
      <c r="G238" s="78"/>
      <c r="H238" s="78" t="s">
        <v>272</v>
      </c>
      <c r="I238" s="80" t="s">
        <v>273</v>
      </c>
      <c r="J238" s="82">
        <f t="shared" si="44"/>
        <v>333000</v>
      </c>
      <c r="K238" s="82">
        <f>K239</f>
        <v>333000</v>
      </c>
      <c r="L238" s="82">
        <f>L239</f>
        <v>0</v>
      </c>
      <c r="M238" s="82">
        <f>M239</f>
        <v>0</v>
      </c>
    </row>
    <row r="239" spans="1:19" s="103" customFormat="1" ht="42.75" customHeight="1" x14ac:dyDescent="0.3">
      <c r="A239" s="66" t="str">
        <f t="shared" si="46"/>
        <v>п</v>
      </c>
      <c r="B239" s="67" t="s">
        <v>149</v>
      </c>
      <c r="C239" s="10"/>
      <c r="D239" s="104" t="s">
        <v>47</v>
      </c>
      <c r="E239" s="104"/>
      <c r="F239" s="104"/>
      <c r="G239" s="105" t="s">
        <v>363</v>
      </c>
      <c r="H239" s="172"/>
      <c r="I239" s="88"/>
      <c r="J239" s="90">
        <f t="shared" si="44"/>
        <v>333000</v>
      </c>
      <c r="K239" s="90">
        <f t="shared" ref="K239:M240" si="55">+K240</f>
        <v>333000</v>
      </c>
      <c r="L239" s="90">
        <f t="shared" si="55"/>
        <v>0</v>
      </c>
      <c r="M239" s="90">
        <f t="shared" si="55"/>
        <v>0</v>
      </c>
    </row>
    <row r="240" spans="1:19" s="103" customFormat="1" ht="43.5" customHeight="1" x14ac:dyDescent="0.3">
      <c r="A240" s="66" t="str">
        <f t="shared" si="46"/>
        <v>п</v>
      </c>
      <c r="B240" s="67" t="s">
        <v>149</v>
      </c>
      <c r="C240" s="10"/>
      <c r="D240" s="85" t="s">
        <v>48</v>
      </c>
      <c r="E240" s="85"/>
      <c r="F240" s="174"/>
      <c r="G240" s="105" t="s">
        <v>363</v>
      </c>
      <c r="H240" s="149"/>
      <c r="I240" s="131"/>
      <c r="J240" s="153">
        <f t="shared" si="44"/>
        <v>333000</v>
      </c>
      <c r="K240" s="153">
        <f t="shared" si="55"/>
        <v>333000</v>
      </c>
      <c r="L240" s="173">
        <f t="shared" si="55"/>
        <v>0</v>
      </c>
      <c r="M240" s="173">
        <f t="shared" si="55"/>
        <v>0</v>
      </c>
    </row>
    <row r="241" spans="1:13" s="102" customFormat="1" ht="22.5" customHeight="1" thickBot="1" x14ac:dyDescent="0.35">
      <c r="A241" s="66" t="str">
        <f t="shared" si="46"/>
        <v>п</v>
      </c>
      <c r="B241" s="67" t="s">
        <v>149</v>
      </c>
      <c r="C241" s="31"/>
      <c r="D241" s="116" t="s">
        <v>55</v>
      </c>
      <c r="E241" s="92" t="s">
        <v>56</v>
      </c>
      <c r="F241" s="93" t="s">
        <v>120</v>
      </c>
      <c r="G241" s="94" t="s">
        <v>57</v>
      </c>
      <c r="H241" s="120"/>
      <c r="I241" s="96"/>
      <c r="J241" s="98">
        <f>+K241+L241</f>
        <v>333000</v>
      </c>
      <c r="K241" s="98">
        <v>333000</v>
      </c>
      <c r="L241" s="98"/>
      <c r="M241" s="98"/>
    </row>
    <row r="242" spans="1:13" s="103" customFormat="1" ht="76.5" customHeight="1" x14ac:dyDescent="0.3">
      <c r="A242" s="66" t="str">
        <f t="shared" si="46"/>
        <v>п</v>
      </c>
      <c r="B242" s="67"/>
      <c r="C242" s="10"/>
      <c r="D242" s="140"/>
      <c r="E242" s="78"/>
      <c r="F242" s="140"/>
      <c r="G242" s="78"/>
      <c r="H242" s="79" t="s">
        <v>300</v>
      </c>
      <c r="I242" s="80" t="s">
        <v>299</v>
      </c>
      <c r="J242" s="81">
        <f t="shared" si="44"/>
        <v>2838246</v>
      </c>
      <c r="K242" s="82">
        <f t="shared" ref="K242:M243" si="56">K243</f>
        <v>2838246</v>
      </c>
      <c r="L242" s="82">
        <f t="shared" si="56"/>
        <v>0</v>
      </c>
      <c r="M242" s="82">
        <f t="shared" si="56"/>
        <v>0</v>
      </c>
    </row>
    <row r="243" spans="1:13" s="103" customFormat="1" ht="38.25" customHeight="1" x14ac:dyDescent="0.3">
      <c r="A243" s="66" t="str">
        <f t="shared" si="46"/>
        <v>п</v>
      </c>
      <c r="B243" s="67" t="s">
        <v>149</v>
      </c>
      <c r="C243" s="10"/>
      <c r="D243" s="104" t="s">
        <v>47</v>
      </c>
      <c r="E243" s="104"/>
      <c r="F243" s="104"/>
      <c r="G243" s="105" t="s">
        <v>363</v>
      </c>
      <c r="H243" s="87"/>
      <c r="I243" s="88"/>
      <c r="J243" s="89">
        <f>+K243+L243</f>
        <v>2838246</v>
      </c>
      <c r="K243" s="90">
        <f t="shared" si="56"/>
        <v>2838246</v>
      </c>
      <c r="L243" s="90">
        <f t="shared" si="56"/>
        <v>0</v>
      </c>
      <c r="M243" s="90">
        <f t="shared" si="56"/>
        <v>0</v>
      </c>
    </row>
    <row r="244" spans="1:13" s="103" customFormat="1" ht="41.25" customHeight="1" x14ac:dyDescent="0.3">
      <c r="A244" s="66" t="str">
        <f t="shared" si="46"/>
        <v>п</v>
      </c>
      <c r="B244" s="67" t="s">
        <v>149</v>
      </c>
      <c r="C244" s="10"/>
      <c r="D244" s="85" t="s">
        <v>48</v>
      </c>
      <c r="E244" s="85"/>
      <c r="F244" s="174"/>
      <c r="G244" s="105" t="s">
        <v>363</v>
      </c>
      <c r="H244" s="130"/>
      <c r="I244" s="131"/>
      <c r="J244" s="132">
        <f>+K244+L244</f>
        <v>2838246</v>
      </c>
      <c r="K244" s="153">
        <f>SUM(K245:K246)</f>
        <v>2838246</v>
      </c>
      <c r="L244" s="153">
        <f>SUM(L245:L246)</f>
        <v>0</v>
      </c>
      <c r="M244" s="153">
        <f>SUM(M245:M246)</f>
        <v>0</v>
      </c>
    </row>
    <row r="245" spans="1:13" s="103" customFormat="1" ht="39.75" customHeight="1" x14ac:dyDescent="0.3">
      <c r="A245" s="66" t="str">
        <f t="shared" si="46"/>
        <v>п</v>
      </c>
      <c r="B245" s="67" t="s">
        <v>149</v>
      </c>
      <c r="C245" s="10"/>
      <c r="D245" s="116" t="s">
        <v>169</v>
      </c>
      <c r="E245" s="92" t="s">
        <v>170</v>
      </c>
      <c r="F245" s="93" t="s">
        <v>104</v>
      </c>
      <c r="G245" s="94" t="s">
        <v>171</v>
      </c>
      <c r="H245" s="87"/>
      <c r="I245" s="88"/>
      <c r="J245" s="97">
        <f>+K245+L245</f>
        <v>2213346</v>
      </c>
      <c r="K245" s="98">
        <f>1633500+500000+54800+25046</f>
        <v>2213346</v>
      </c>
      <c r="L245" s="177">
        <f>2000000-2000000</f>
        <v>0</v>
      </c>
      <c r="M245" s="177">
        <f>2000000-2000000</f>
        <v>0</v>
      </c>
    </row>
    <row r="246" spans="1:13" s="103" customFormat="1" ht="39" customHeight="1" thickBot="1" x14ac:dyDescent="0.35">
      <c r="A246" s="66" t="str">
        <f t="shared" si="46"/>
        <v>п</v>
      </c>
      <c r="B246" s="67" t="s">
        <v>149</v>
      </c>
      <c r="C246" s="67"/>
      <c r="D246" s="116" t="s">
        <v>49</v>
      </c>
      <c r="E246" s="92">
        <v>6015</v>
      </c>
      <c r="F246" s="179" t="s">
        <v>120</v>
      </c>
      <c r="G246" s="278" t="s">
        <v>51</v>
      </c>
      <c r="H246" s="95"/>
      <c r="I246" s="96"/>
      <c r="J246" s="97">
        <f t="shared" si="44"/>
        <v>624900</v>
      </c>
      <c r="K246" s="98">
        <f>500000+124900</f>
        <v>624900</v>
      </c>
      <c r="L246" s="98"/>
      <c r="M246" s="98"/>
    </row>
    <row r="247" spans="1:13" s="19" customFormat="1" ht="39" hidden="1" customHeight="1" thickBot="1" x14ac:dyDescent="0.3">
      <c r="A247" s="9" t="str">
        <f t="shared" si="46"/>
        <v/>
      </c>
      <c r="B247" s="10" t="s">
        <v>149</v>
      </c>
      <c r="C247" s="32"/>
      <c r="D247" s="322"/>
      <c r="E247" s="258"/>
      <c r="F247" s="188"/>
      <c r="G247" s="123" t="s">
        <v>10</v>
      </c>
      <c r="H247" s="264"/>
      <c r="I247" s="46"/>
      <c r="J247" s="55">
        <f t="shared" si="44"/>
        <v>0</v>
      </c>
      <c r="K247" s="25"/>
      <c r="L247" s="24"/>
      <c r="M247" s="20"/>
    </row>
    <row r="248" spans="1:13" s="103" customFormat="1" ht="78.75" hidden="1" customHeight="1" x14ac:dyDescent="0.3">
      <c r="A248" s="66" t="str">
        <f t="shared" si="46"/>
        <v/>
      </c>
      <c r="B248" s="67"/>
      <c r="C248" s="10"/>
      <c r="D248" s="140"/>
      <c r="E248" s="78"/>
      <c r="F248" s="140"/>
      <c r="G248" s="78"/>
      <c r="H248" s="79" t="s">
        <v>201</v>
      </c>
      <c r="I248" s="80" t="s">
        <v>202</v>
      </c>
      <c r="J248" s="81">
        <f t="shared" si="44"/>
        <v>0</v>
      </c>
      <c r="K248" s="82">
        <f>K249</f>
        <v>0</v>
      </c>
      <c r="L248" s="82">
        <f>L249</f>
        <v>0</v>
      </c>
      <c r="M248" s="82">
        <f>M249</f>
        <v>0</v>
      </c>
    </row>
    <row r="249" spans="1:13" s="103" customFormat="1" ht="39.75" hidden="1" customHeight="1" x14ac:dyDescent="0.3">
      <c r="A249" s="66" t="str">
        <f t="shared" si="46"/>
        <v/>
      </c>
      <c r="B249" s="67" t="s">
        <v>146</v>
      </c>
      <c r="C249" s="10"/>
      <c r="D249" s="129" t="s">
        <v>134</v>
      </c>
      <c r="E249" s="104"/>
      <c r="F249" s="104"/>
      <c r="G249" s="105" t="s">
        <v>361</v>
      </c>
      <c r="H249" s="87"/>
      <c r="I249" s="88"/>
      <c r="J249" s="89">
        <f t="shared" si="44"/>
        <v>0</v>
      </c>
      <c r="K249" s="90">
        <f t="shared" ref="K249:M250" si="57">+K250</f>
        <v>0</v>
      </c>
      <c r="L249" s="90">
        <f t="shared" si="57"/>
        <v>0</v>
      </c>
      <c r="M249" s="90">
        <f t="shared" si="57"/>
        <v>0</v>
      </c>
    </row>
    <row r="250" spans="1:13" s="103" customFormat="1" ht="39.75" hidden="1" customHeight="1" x14ac:dyDescent="0.3">
      <c r="A250" s="66" t="str">
        <f t="shared" si="46"/>
        <v/>
      </c>
      <c r="B250" s="67" t="s">
        <v>146</v>
      </c>
      <c r="C250" s="10"/>
      <c r="D250" s="129" t="s">
        <v>135</v>
      </c>
      <c r="E250" s="104"/>
      <c r="F250" s="104"/>
      <c r="G250" s="105" t="s">
        <v>361</v>
      </c>
      <c r="H250" s="130"/>
      <c r="I250" s="131"/>
      <c r="J250" s="132">
        <f t="shared" si="44"/>
        <v>0</v>
      </c>
      <c r="K250" s="153">
        <f t="shared" si="57"/>
        <v>0</v>
      </c>
      <c r="L250" s="173">
        <f t="shared" si="57"/>
        <v>0</v>
      </c>
      <c r="M250" s="173">
        <f t="shared" si="57"/>
        <v>0</v>
      </c>
    </row>
    <row r="251" spans="1:13" s="102" customFormat="1" ht="21" hidden="1" customHeight="1" thickBot="1" x14ac:dyDescent="0.35">
      <c r="A251" s="66" t="str">
        <f t="shared" si="46"/>
        <v/>
      </c>
      <c r="B251" s="67" t="s">
        <v>146</v>
      </c>
      <c r="C251" s="31"/>
      <c r="D251" s="164" t="s">
        <v>163</v>
      </c>
      <c r="E251" s="154" t="s">
        <v>162</v>
      </c>
      <c r="F251" s="156" t="s">
        <v>13</v>
      </c>
      <c r="G251" s="157" t="s">
        <v>164</v>
      </c>
      <c r="H251" s="155"/>
      <c r="I251" s="158"/>
      <c r="J251" s="159">
        <f t="shared" ref="J251:J309" si="58">+K251+L251</f>
        <v>0</v>
      </c>
      <c r="K251" s="159"/>
      <c r="L251" s="159"/>
      <c r="M251" s="159"/>
    </row>
    <row r="252" spans="1:13" s="103" customFormat="1" ht="79.5" customHeight="1" x14ac:dyDescent="0.3">
      <c r="A252" s="66" t="str">
        <f t="shared" si="46"/>
        <v>п</v>
      </c>
      <c r="B252" s="67"/>
      <c r="C252" s="10"/>
      <c r="D252" s="140"/>
      <c r="E252" s="78"/>
      <c r="F252" s="140"/>
      <c r="G252" s="78"/>
      <c r="H252" s="78" t="s">
        <v>343</v>
      </c>
      <c r="I252" s="80" t="s">
        <v>350</v>
      </c>
      <c r="J252" s="82">
        <f t="shared" si="58"/>
        <v>14080000</v>
      </c>
      <c r="K252" s="82">
        <f>K253</f>
        <v>0</v>
      </c>
      <c r="L252" s="82">
        <f>L253</f>
        <v>14080000</v>
      </c>
      <c r="M252" s="82">
        <f>M253</f>
        <v>14080000</v>
      </c>
    </row>
    <row r="253" spans="1:13" s="103" customFormat="1" ht="23.25" customHeight="1" x14ac:dyDescent="0.3">
      <c r="A253" s="66" t="str">
        <f t="shared" si="46"/>
        <v>п</v>
      </c>
      <c r="B253" s="67" t="s">
        <v>146</v>
      </c>
      <c r="C253" s="10"/>
      <c r="D253" s="84" t="s">
        <v>15</v>
      </c>
      <c r="E253" s="84"/>
      <c r="F253" s="84"/>
      <c r="G253" s="86" t="s">
        <v>364</v>
      </c>
      <c r="H253" s="172"/>
      <c r="I253" s="88"/>
      <c r="J253" s="90">
        <f t="shared" si="58"/>
        <v>14080000</v>
      </c>
      <c r="K253" s="90">
        <f t="shared" ref="K253:M254" si="59">+K254</f>
        <v>0</v>
      </c>
      <c r="L253" s="90">
        <f t="shared" si="59"/>
        <v>14080000</v>
      </c>
      <c r="M253" s="90">
        <f t="shared" si="59"/>
        <v>14080000</v>
      </c>
    </row>
    <row r="254" spans="1:13" s="103" customFormat="1" ht="23.25" customHeight="1" x14ac:dyDescent="0.3">
      <c r="A254" s="66" t="str">
        <f t="shared" si="46"/>
        <v>п</v>
      </c>
      <c r="B254" s="67" t="s">
        <v>146</v>
      </c>
      <c r="C254" s="10"/>
      <c r="D254" s="84" t="s">
        <v>14</v>
      </c>
      <c r="E254" s="84"/>
      <c r="F254" s="84"/>
      <c r="G254" s="86" t="s">
        <v>364</v>
      </c>
      <c r="H254" s="149"/>
      <c r="I254" s="131"/>
      <c r="J254" s="153">
        <f t="shared" si="58"/>
        <v>14080000</v>
      </c>
      <c r="K254" s="153">
        <f t="shared" si="59"/>
        <v>0</v>
      </c>
      <c r="L254" s="173">
        <f t="shared" si="59"/>
        <v>14080000</v>
      </c>
      <c r="M254" s="173">
        <f t="shared" si="59"/>
        <v>14080000</v>
      </c>
    </row>
    <row r="255" spans="1:13" s="103" customFormat="1" ht="19.5" thickBot="1" x14ac:dyDescent="0.35">
      <c r="A255" s="66" t="str">
        <f t="shared" si="46"/>
        <v>п</v>
      </c>
      <c r="B255" s="67" t="s">
        <v>146</v>
      </c>
      <c r="C255" s="10"/>
      <c r="D255" s="156" t="s">
        <v>58</v>
      </c>
      <c r="E255" s="154">
        <v>7670</v>
      </c>
      <c r="F255" s="156" t="s">
        <v>122</v>
      </c>
      <c r="G255" s="157" t="s">
        <v>60</v>
      </c>
      <c r="H255" s="155"/>
      <c r="I255" s="158"/>
      <c r="J255" s="159">
        <f t="shared" si="58"/>
        <v>14080000</v>
      </c>
      <c r="K255" s="159"/>
      <c r="L255" s="178">
        <f>11500000+400000+2180000</f>
        <v>14080000</v>
      </c>
      <c r="M255" s="178">
        <f>11500000+400000+2180000</f>
        <v>14080000</v>
      </c>
    </row>
    <row r="256" spans="1:13" s="102" customFormat="1" ht="125.25" customHeight="1" x14ac:dyDescent="0.3">
      <c r="A256" s="66" t="str">
        <f t="shared" si="46"/>
        <v>п</v>
      </c>
      <c r="B256" s="67"/>
      <c r="C256" s="10"/>
      <c r="D256" s="179"/>
      <c r="E256" s="175"/>
      <c r="F256" s="179"/>
      <c r="G256" s="180"/>
      <c r="H256" s="376" t="s">
        <v>341</v>
      </c>
      <c r="I256" s="181" t="s">
        <v>276</v>
      </c>
      <c r="J256" s="182">
        <f t="shared" si="58"/>
        <v>209600</v>
      </c>
      <c r="K256" s="183">
        <f>K257</f>
        <v>209600</v>
      </c>
      <c r="L256" s="183">
        <f>L257</f>
        <v>0</v>
      </c>
      <c r="M256" s="183">
        <f>M257</f>
        <v>0</v>
      </c>
    </row>
    <row r="257" spans="1:13" s="103" customFormat="1" ht="21.75" customHeight="1" x14ac:dyDescent="0.3">
      <c r="A257" s="66" t="str">
        <f>IF(J257=0,"","п")</f>
        <v>п</v>
      </c>
      <c r="B257" s="67" t="s">
        <v>146</v>
      </c>
      <c r="C257" s="31"/>
      <c r="D257" s="84" t="s">
        <v>15</v>
      </c>
      <c r="E257" s="84"/>
      <c r="F257" s="84"/>
      <c r="G257" s="86" t="s">
        <v>364</v>
      </c>
      <c r="H257" s="106"/>
      <c r="I257" s="107"/>
      <c r="J257" s="108">
        <f>+K257+L257</f>
        <v>209600</v>
      </c>
      <c r="K257" s="110">
        <f>+K258</f>
        <v>209600</v>
      </c>
      <c r="L257" s="110">
        <f t="shared" ref="L257:M257" si="60">+L258</f>
        <v>0</v>
      </c>
      <c r="M257" s="110">
        <f t="shared" si="60"/>
        <v>0</v>
      </c>
    </row>
    <row r="258" spans="1:13" s="103" customFormat="1" ht="21.75" customHeight="1" x14ac:dyDescent="0.3">
      <c r="A258" s="66" t="str">
        <f t="shared" si="46"/>
        <v>п</v>
      </c>
      <c r="B258" s="67" t="s">
        <v>146</v>
      </c>
      <c r="C258" s="31"/>
      <c r="D258" s="84" t="s">
        <v>14</v>
      </c>
      <c r="E258" s="84"/>
      <c r="F258" s="84"/>
      <c r="G258" s="86" t="s">
        <v>364</v>
      </c>
      <c r="H258" s="160"/>
      <c r="I258" s="161"/>
      <c r="J258" s="162">
        <f t="shared" si="58"/>
        <v>209600</v>
      </c>
      <c r="K258" s="170">
        <f>+K262+K261+K259+K260</f>
        <v>209600</v>
      </c>
      <c r="L258" s="170">
        <f t="shared" ref="L258:M258" si="61">+L262+L261+L259+L260</f>
        <v>0</v>
      </c>
      <c r="M258" s="170">
        <f t="shared" si="61"/>
        <v>0</v>
      </c>
    </row>
    <row r="259" spans="1:13" s="19" customFormat="1" ht="42.75" hidden="1" customHeight="1" x14ac:dyDescent="0.25">
      <c r="A259" s="9" t="str">
        <f t="shared" si="46"/>
        <v/>
      </c>
      <c r="B259" s="67" t="s">
        <v>146</v>
      </c>
      <c r="C259" s="31"/>
      <c r="D259" s="263" t="s">
        <v>258</v>
      </c>
      <c r="E259" s="263" t="s">
        <v>259</v>
      </c>
      <c r="F259" s="263" t="s">
        <v>174</v>
      </c>
      <c r="G259" s="308" t="s">
        <v>260</v>
      </c>
      <c r="H259" s="95"/>
      <c r="I259" s="37"/>
      <c r="J259" s="97">
        <f t="shared" si="58"/>
        <v>0</v>
      </c>
      <c r="K259" s="98">
        <f>1000000-1000000</f>
        <v>0</v>
      </c>
      <c r="L259" s="111"/>
      <c r="M259" s="111"/>
    </row>
    <row r="260" spans="1:13" s="19" customFormat="1" ht="32.25" hidden="1" customHeight="1" x14ac:dyDescent="0.25">
      <c r="A260" s="9" t="str">
        <f t="shared" ref="A260" si="62">IF(J260=0,"","п")</f>
        <v/>
      </c>
      <c r="B260" s="67" t="s">
        <v>146</v>
      </c>
      <c r="C260" s="31"/>
      <c r="D260" s="263" t="s">
        <v>302</v>
      </c>
      <c r="E260" s="263" t="s">
        <v>303</v>
      </c>
      <c r="F260" s="263" t="s">
        <v>256</v>
      </c>
      <c r="G260" s="308" t="s">
        <v>283</v>
      </c>
      <c r="H260" s="95"/>
      <c r="I260" s="37"/>
      <c r="J260" s="97">
        <f t="shared" si="58"/>
        <v>0</v>
      </c>
      <c r="K260" s="98"/>
      <c r="L260" s="98"/>
      <c r="M260" s="98"/>
    </row>
    <row r="261" spans="1:13" s="19" customFormat="1" ht="24.75" hidden="1" customHeight="1" x14ac:dyDescent="0.25">
      <c r="A261" s="9" t="str">
        <f t="shared" si="46"/>
        <v/>
      </c>
      <c r="B261" s="67" t="s">
        <v>146</v>
      </c>
      <c r="C261" s="31"/>
      <c r="D261" s="93" t="s">
        <v>78</v>
      </c>
      <c r="E261" s="120">
        <v>9800</v>
      </c>
      <c r="F261" s="93" t="s">
        <v>125</v>
      </c>
      <c r="G261" s="94" t="s">
        <v>80</v>
      </c>
      <c r="H261" s="95"/>
      <c r="I261" s="96"/>
      <c r="J261" s="97">
        <f t="shared" si="58"/>
        <v>0</v>
      </c>
      <c r="K261" s="98"/>
      <c r="L261" s="98"/>
      <c r="M261" s="98"/>
    </row>
    <row r="262" spans="1:13" s="102" customFormat="1" ht="19.5" thickBot="1" x14ac:dyDescent="0.35">
      <c r="A262" s="66" t="str">
        <f t="shared" si="46"/>
        <v>п</v>
      </c>
      <c r="B262" s="67" t="s">
        <v>146</v>
      </c>
      <c r="C262" s="10"/>
      <c r="D262" s="164" t="s">
        <v>61</v>
      </c>
      <c r="E262" s="156" t="s">
        <v>62</v>
      </c>
      <c r="F262" s="156" t="s">
        <v>125</v>
      </c>
      <c r="G262" s="157" t="s">
        <v>63</v>
      </c>
      <c r="H262" s="165"/>
      <c r="I262" s="158"/>
      <c r="J262" s="171">
        <f t="shared" si="58"/>
        <v>209600</v>
      </c>
      <c r="K262" s="159">
        <v>209600</v>
      </c>
      <c r="L262" s="184"/>
      <c r="M262" s="184"/>
    </row>
    <row r="263" spans="1:13" s="102" customFormat="1" ht="39.75" customHeight="1" x14ac:dyDescent="0.3">
      <c r="A263" s="66" t="str">
        <f t="shared" si="46"/>
        <v>п</v>
      </c>
      <c r="B263" s="67"/>
      <c r="C263" s="10"/>
      <c r="D263" s="77"/>
      <c r="E263" s="76"/>
      <c r="F263" s="77"/>
      <c r="G263" s="78"/>
      <c r="H263" s="79" t="s">
        <v>344</v>
      </c>
      <c r="I263" s="80" t="s">
        <v>351</v>
      </c>
      <c r="J263" s="81">
        <f>+K263+L263</f>
        <v>46974498</v>
      </c>
      <c r="K263" s="82">
        <f>+K264+K291+K304+K314+K300+K348+K343</f>
        <v>14730656</v>
      </c>
      <c r="L263" s="82">
        <f t="shared" ref="L263:M263" si="63">+L264+L291+L304+L314+L300+L348+L343</f>
        <v>32243842</v>
      </c>
      <c r="M263" s="82">
        <f t="shared" si="63"/>
        <v>32243842</v>
      </c>
    </row>
    <row r="264" spans="1:13" s="19" customFormat="1" ht="25.5" customHeight="1" x14ac:dyDescent="0.25">
      <c r="A264" s="9" t="str">
        <f t="shared" si="46"/>
        <v>п</v>
      </c>
      <c r="B264" s="67" t="s">
        <v>146</v>
      </c>
      <c r="C264" s="31"/>
      <c r="D264" s="84" t="s">
        <v>15</v>
      </c>
      <c r="E264" s="84"/>
      <c r="F264" s="84"/>
      <c r="G264" s="86" t="s">
        <v>364</v>
      </c>
      <c r="H264" s="106"/>
      <c r="I264" s="107"/>
      <c r="J264" s="108">
        <f t="shared" si="58"/>
        <v>332850</v>
      </c>
      <c r="K264" s="109">
        <f>+K265</f>
        <v>27500</v>
      </c>
      <c r="L264" s="109">
        <f>+L265</f>
        <v>305350</v>
      </c>
      <c r="M264" s="109">
        <f>+M265</f>
        <v>305350</v>
      </c>
    </row>
    <row r="265" spans="1:13" s="19" customFormat="1" ht="25.5" customHeight="1" x14ac:dyDescent="0.25">
      <c r="A265" s="9" t="str">
        <f t="shared" si="46"/>
        <v>п</v>
      </c>
      <c r="B265" s="67" t="s">
        <v>146</v>
      </c>
      <c r="C265" s="31"/>
      <c r="D265" s="84" t="s">
        <v>14</v>
      </c>
      <c r="E265" s="84"/>
      <c r="F265" s="84"/>
      <c r="G265" s="86" t="s">
        <v>364</v>
      </c>
      <c r="H265" s="106"/>
      <c r="I265" s="107"/>
      <c r="J265" s="108">
        <f>+K265+L265</f>
        <v>332850</v>
      </c>
      <c r="K265" s="109">
        <f>SUM(K266:K290)-K272</f>
        <v>27500</v>
      </c>
      <c r="L265" s="109">
        <f>SUM(L266:L290)-L272</f>
        <v>305350</v>
      </c>
      <c r="M265" s="109">
        <f>SUM(M266:M290)-M272</f>
        <v>305350</v>
      </c>
    </row>
    <row r="266" spans="1:13" s="12" customFormat="1" ht="76.5" customHeight="1" x14ac:dyDescent="0.25">
      <c r="A266" s="9" t="str">
        <f t="shared" si="46"/>
        <v>п</v>
      </c>
      <c r="B266" s="10" t="s">
        <v>146</v>
      </c>
      <c r="C266" s="33"/>
      <c r="D266" s="260" t="s">
        <v>81</v>
      </c>
      <c r="E266" s="260" t="s">
        <v>82</v>
      </c>
      <c r="F266" s="93" t="s">
        <v>76</v>
      </c>
      <c r="G266" s="278" t="s">
        <v>83</v>
      </c>
      <c r="H266" s="166"/>
      <c r="I266" s="167"/>
      <c r="J266" s="168">
        <f t="shared" si="58"/>
        <v>132850</v>
      </c>
      <c r="K266" s="169"/>
      <c r="L266" s="169">
        <f>95200+37650</f>
        <v>132850</v>
      </c>
      <c r="M266" s="169">
        <f>95200+37650</f>
        <v>132850</v>
      </c>
    </row>
    <row r="267" spans="1:13" s="12" customFormat="1" ht="40.5" hidden="1" customHeight="1" x14ac:dyDescent="0.25">
      <c r="A267" s="9" t="str">
        <f t="shared" si="46"/>
        <v/>
      </c>
      <c r="B267" s="10" t="s">
        <v>146</v>
      </c>
      <c r="C267" s="33"/>
      <c r="D267" s="260" t="s">
        <v>30</v>
      </c>
      <c r="E267" s="260" t="s">
        <v>141</v>
      </c>
      <c r="F267" s="93" t="s">
        <v>130</v>
      </c>
      <c r="G267" s="278" t="s">
        <v>139</v>
      </c>
      <c r="H267" s="166"/>
      <c r="I267" s="47"/>
      <c r="J267" s="56">
        <f t="shared" si="58"/>
        <v>0</v>
      </c>
      <c r="K267" s="20"/>
      <c r="L267" s="20"/>
      <c r="M267" s="20"/>
    </row>
    <row r="268" spans="1:13" s="12" customFormat="1" ht="23.25" hidden="1" customHeight="1" x14ac:dyDescent="0.25">
      <c r="A268" s="9" t="str">
        <f t="shared" si="46"/>
        <v/>
      </c>
      <c r="B268" s="10" t="s">
        <v>146</v>
      </c>
      <c r="C268" s="33"/>
      <c r="D268" s="260" t="s">
        <v>89</v>
      </c>
      <c r="E268" s="260" t="s">
        <v>90</v>
      </c>
      <c r="F268" s="93" t="s">
        <v>91</v>
      </c>
      <c r="G268" s="278" t="s">
        <v>92</v>
      </c>
      <c r="H268" s="166"/>
      <c r="I268" s="47"/>
      <c r="J268" s="56">
        <f t="shared" si="58"/>
        <v>0</v>
      </c>
      <c r="K268" s="20"/>
      <c r="L268" s="20"/>
      <c r="M268" s="20"/>
    </row>
    <row r="269" spans="1:13" s="12" customFormat="1" ht="61.5" hidden="1" customHeight="1" x14ac:dyDescent="0.25">
      <c r="A269" s="9" t="str">
        <f t="shared" si="46"/>
        <v/>
      </c>
      <c r="B269" s="10" t="s">
        <v>146</v>
      </c>
      <c r="C269" s="31"/>
      <c r="D269" s="116" t="s">
        <v>27</v>
      </c>
      <c r="E269" s="92" t="s">
        <v>28</v>
      </c>
      <c r="F269" s="93" t="s">
        <v>70</v>
      </c>
      <c r="G269" s="94" t="s">
        <v>29</v>
      </c>
      <c r="H269" s="95"/>
      <c r="I269" s="37"/>
      <c r="J269" s="51">
        <f t="shared" si="58"/>
        <v>0</v>
      </c>
      <c r="K269" s="16"/>
      <c r="L269" s="16"/>
      <c r="M269" s="16"/>
    </row>
    <row r="270" spans="1:13" s="12" customFormat="1" ht="21" hidden="1" customHeight="1" x14ac:dyDescent="0.25">
      <c r="A270" s="9" t="str">
        <f t="shared" si="46"/>
        <v/>
      </c>
      <c r="B270" s="10" t="s">
        <v>146</v>
      </c>
      <c r="C270" s="31"/>
      <c r="D270" s="116"/>
      <c r="E270" s="92"/>
      <c r="F270" s="93"/>
      <c r="G270" s="94"/>
      <c r="H270" s="120"/>
      <c r="I270" s="37"/>
      <c r="J270" s="16">
        <f t="shared" si="58"/>
        <v>0</v>
      </c>
      <c r="K270" s="16"/>
      <c r="L270" s="16"/>
      <c r="M270" s="16"/>
    </row>
    <row r="271" spans="1:13" s="12" customFormat="1" ht="76.5" hidden="1" customHeight="1" x14ac:dyDescent="0.25">
      <c r="A271" s="9" t="str">
        <f t="shared" si="46"/>
        <v/>
      </c>
      <c r="B271" s="10" t="s">
        <v>146</v>
      </c>
      <c r="C271" s="31"/>
      <c r="D271" s="116" t="s">
        <v>33</v>
      </c>
      <c r="E271" s="92" t="s">
        <v>34</v>
      </c>
      <c r="F271" s="93" t="s">
        <v>121</v>
      </c>
      <c r="G271" s="94" t="s">
        <v>35</v>
      </c>
      <c r="H271" s="95"/>
      <c r="I271" s="37"/>
      <c r="J271" s="97">
        <f t="shared" si="58"/>
        <v>0</v>
      </c>
      <c r="K271" s="98"/>
      <c r="L271" s="136"/>
      <c r="M271" s="136"/>
    </row>
    <row r="272" spans="1:13" s="26" customFormat="1" ht="39" hidden="1" customHeight="1" x14ac:dyDescent="0.3">
      <c r="A272" s="9" t="str">
        <f t="shared" si="46"/>
        <v/>
      </c>
      <c r="B272" s="29" t="s">
        <v>146</v>
      </c>
      <c r="C272" s="32"/>
      <c r="D272" s="325"/>
      <c r="E272" s="121"/>
      <c r="F272" s="122"/>
      <c r="G272" s="123" t="s">
        <v>10</v>
      </c>
      <c r="H272" s="185"/>
      <c r="I272" s="48"/>
      <c r="J272" s="126">
        <f t="shared" si="58"/>
        <v>0</v>
      </c>
      <c r="K272" s="127"/>
      <c r="L272" s="147"/>
      <c r="M272" s="147"/>
    </row>
    <row r="273" spans="1:13" s="12" customFormat="1" ht="18" hidden="1" customHeight="1" x14ac:dyDescent="0.25">
      <c r="A273" s="9" t="str">
        <f t="shared" si="46"/>
        <v/>
      </c>
      <c r="B273" s="10" t="s">
        <v>146</v>
      </c>
      <c r="C273" s="31"/>
      <c r="D273" s="116" t="s">
        <v>85</v>
      </c>
      <c r="E273" s="92" t="s">
        <v>86</v>
      </c>
      <c r="F273" s="93" t="s">
        <v>87</v>
      </c>
      <c r="G273" s="94" t="s">
        <v>88</v>
      </c>
      <c r="H273" s="120"/>
      <c r="I273" s="37"/>
      <c r="J273" s="98">
        <f t="shared" si="58"/>
        <v>0</v>
      </c>
      <c r="K273" s="98"/>
      <c r="L273" s="98"/>
      <c r="M273" s="98"/>
    </row>
    <row r="274" spans="1:13" s="12" customFormat="1" ht="21" hidden="1" customHeight="1" x14ac:dyDescent="0.25">
      <c r="A274" s="9" t="str">
        <f t="shared" si="46"/>
        <v/>
      </c>
      <c r="B274" s="10" t="s">
        <v>146</v>
      </c>
      <c r="C274" s="31"/>
      <c r="D274" s="116" t="s">
        <v>71</v>
      </c>
      <c r="E274" s="92" t="s">
        <v>72</v>
      </c>
      <c r="F274" s="93" t="s">
        <v>123</v>
      </c>
      <c r="G274" s="94" t="s">
        <v>73</v>
      </c>
      <c r="H274" s="95"/>
      <c r="I274" s="37"/>
      <c r="J274" s="97">
        <f t="shared" si="58"/>
        <v>0</v>
      </c>
      <c r="K274" s="98"/>
      <c r="L274" s="98"/>
      <c r="M274" s="98"/>
    </row>
    <row r="275" spans="1:13" s="12" customFormat="1" ht="21" hidden="1" customHeight="1" x14ac:dyDescent="0.25">
      <c r="A275" s="9" t="str">
        <f t="shared" si="46"/>
        <v/>
      </c>
      <c r="B275" s="10" t="s">
        <v>146</v>
      </c>
      <c r="C275" s="31"/>
      <c r="D275" s="116"/>
      <c r="E275" s="92"/>
      <c r="F275" s="93"/>
      <c r="G275" s="94"/>
      <c r="H275" s="120"/>
      <c r="I275" s="37"/>
      <c r="J275" s="98">
        <f t="shared" si="58"/>
        <v>0</v>
      </c>
      <c r="K275" s="98"/>
      <c r="L275" s="98"/>
      <c r="M275" s="98"/>
    </row>
    <row r="276" spans="1:13" s="12" customFormat="1" hidden="1" x14ac:dyDescent="0.25">
      <c r="A276" s="9" t="str">
        <f t="shared" si="46"/>
        <v/>
      </c>
      <c r="B276" s="10" t="s">
        <v>146</v>
      </c>
      <c r="C276" s="31"/>
      <c r="D276" s="116"/>
      <c r="E276" s="93"/>
      <c r="F276" s="93"/>
      <c r="G276" s="94"/>
      <c r="H276" s="120"/>
      <c r="I276" s="37"/>
      <c r="J276" s="98">
        <f t="shared" si="58"/>
        <v>0</v>
      </c>
      <c r="K276" s="98"/>
      <c r="L276" s="98"/>
      <c r="M276" s="98"/>
    </row>
    <row r="277" spans="1:13" s="12" customFormat="1" ht="19.5" hidden="1" customHeight="1" x14ac:dyDescent="0.25">
      <c r="A277" s="9" t="str">
        <f t="shared" si="46"/>
        <v/>
      </c>
      <c r="B277" s="10" t="s">
        <v>146</v>
      </c>
      <c r="C277" s="31"/>
      <c r="D277" s="116" t="s">
        <v>180</v>
      </c>
      <c r="E277" s="92" t="s">
        <v>181</v>
      </c>
      <c r="F277" s="93" t="s">
        <v>174</v>
      </c>
      <c r="G277" s="94" t="s">
        <v>182</v>
      </c>
      <c r="H277" s="120"/>
      <c r="I277" s="37"/>
      <c r="J277" s="98">
        <f t="shared" si="58"/>
        <v>0</v>
      </c>
      <c r="K277" s="98"/>
      <c r="L277" s="98"/>
      <c r="M277" s="98"/>
    </row>
    <row r="278" spans="1:13" s="12" customFormat="1" ht="18" hidden="1" customHeight="1" x14ac:dyDescent="0.25">
      <c r="A278" s="9" t="str">
        <f t="shared" si="46"/>
        <v/>
      </c>
      <c r="B278" s="10" t="s">
        <v>146</v>
      </c>
      <c r="C278" s="31"/>
      <c r="D278" s="116"/>
      <c r="E278" s="92"/>
      <c r="F278" s="93"/>
      <c r="G278" s="94"/>
      <c r="H278" s="120"/>
      <c r="I278" s="37"/>
      <c r="J278" s="98">
        <f t="shared" si="58"/>
        <v>0</v>
      </c>
      <c r="K278" s="98">
        <f>+K279</f>
        <v>0</v>
      </c>
      <c r="L278" s="98">
        <f>+L279</f>
        <v>0</v>
      </c>
      <c r="M278" s="98">
        <f>+M279</f>
        <v>0</v>
      </c>
    </row>
    <row r="279" spans="1:13" s="12" customFormat="1" hidden="1" x14ac:dyDescent="0.25">
      <c r="A279" s="9" t="str">
        <f t="shared" si="46"/>
        <v/>
      </c>
      <c r="B279" s="10" t="s">
        <v>146</v>
      </c>
      <c r="C279" s="31"/>
      <c r="D279" s="116"/>
      <c r="E279" s="92"/>
      <c r="F279" s="93"/>
      <c r="G279" s="94"/>
      <c r="H279" s="120"/>
      <c r="I279" s="37"/>
      <c r="J279" s="98">
        <f t="shared" si="58"/>
        <v>0</v>
      </c>
      <c r="K279" s="98"/>
      <c r="L279" s="98"/>
      <c r="M279" s="98"/>
    </row>
    <row r="280" spans="1:13" s="12" customFormat="1" ht="18.75" hidden="1" customHeight="1" x14ac:dyDescent="0.25">
      <c r="A280" s="9" t="str">
        <f t="shared" ref="A280:A352" si="64">IF(J280=0,"","п")</f>
        <v/>
      </c>
      <c r="B280" s="29" t="s">
        <v>146</v>
      </c>
      <c r="C280" s="32"/>
      <c r="D280" s="325"/>
      <c r="E280" s="121"/>
      <c r="F280" s="122"/>
      <c r="G280" s="143"/>
      <c r="H280" s="124"/>
      <c r="I280" s="48"/>
      <c r="J280" s="127">
        <f t="shared" si="58"/>
        <v>0</v>
      </c>
      <c r="K280" s="127"/>
      <c r="L280" s="127"/>
      <c r="M280" s="127"/>
    </row>
    <row r="281" spans="1:13" s="12" customFormat="1" hidden="1" x14ac:dyDescent="0.25">
      <c r="A281" s="9" t="str">
        <f t="shared" si="64"/>
        <v/>
      </c>
      <c r="B281" s="10" t="s">
        <v>146</v>
      </c>
      <c r="C281" s="31"/>
      <c r="D281" s="116"/>
      <c r="E281" s="175"/>
      <c r="F281" s="179"/>
      <c r="G281" s="278"/>
      <c r="H281" s="120"/>
      <c r="I281" s="37"/>
      <c r="J281" s="98">
        <f t="shared" si="58"/>
        <v>0</v>
      </c>
      <c r="K281" s="98"/>
      <c r="L281" s="98"/>
      <c r="M281" s="98"/>
    </row>
    <row r="282" spans="1:13" s="12" customFormat="1" hidden="1" x14ac:dyDescent="0.25">
      <c r="A282" s="9" t="str">
        <f t="shared" si="64"/>
        <v/>
      </c>
      <c r="B282" s="10" t="s">
        <v>146</v>
      </c>
      <c r="C282" s="31"/>
      <c r="D282" s="116"/>
      <c r="E282" s="175"/>
      <c r="F282" s="93"/>
      <c r="G282" s="278"/>
      <c r="H282" s="120"/>
      <c r="I282" s="37"/>
      <c r="J282" s="98">
        <f t="shared" si="58"/>
        <v>0</v>
      </c>
      <c r="K282" s="98"/>
      <c r="L282" s="98">
        <f>147000-147000</f>
        <v>0</v>
      </c>
      <c r="M282" s="98">
        <f>147000-147000</f>
        <v>0</v>
      </c>
    </row>
    <row r="283" spans="1:13" s="12" customFormat="1" hidden="1" x14ac:dyDescent="0.25">
      <c r="A283" s="9" t="str">
        <f t="shared" si="64"/>
        <v/>
      </c>
      <c r="B283" s="10" t="s">
        <v>146</v>
      </c>
      <c r="C283" s="31"/>
      <c r="D283" s="116"/>
      <c r="E283" s="92"/>
      <c r="F283" s="93"/>
      <c r="G283" s="94"/>
      <c r="H283" s="120"/>
      <c r="I283" s="37"/>
      <c r="J283" s="98">
        <f t="shared" si="58"/>
        <v>0</v>
      </c>
      <c r="K283" s="98"/>
      <c r="L283" s="98"/>
      <c r="M283" s="98"/>
    </row>
    <row r="284" spans="1:13" s="12" customFormat="1" ht="18" hidden="1" customHeight="1" x14ac:dyDescent="0.25">
      <c r="A284" s="9" t="str">
        <f t="shared" si="64"/>
        <v/>
      </c>
      <c r="B284" s="10" t="s">
        <v>146</v>
      </c>
      <c r="C284" s="31"/>
      <c r="D284" s="116"/>
      <c r="E284" s="261"/>
      <c r="F284" s="179"/>
      <c r="G284" s="278"/>
      <c r="H284" s="120"/>
      <c r="I284" s="37"/>
      <c r="J284" s="98">
        <f t="shared" si="58"/>
        <v>0</v>
      </c>
      <c r="K284" s="98"/>
      <c r="L284" s="98"/>
      <c r="M284" s="98"/>
    </row>
    <row r="285" spans="1:13" s="26" customFormat="1" ht="20.25" hidden="1" customHeight="1" x14ac:dyDescent="0.3">
      <c r="A285" s="9" t="str">
        <f t="shared" si="64"/>
        <v/>
      </c>
      <c r="B285" s="29" t="s">
        <v>146</v>
      </c>
      <c r="C285" s="32"/>
      <c r="D285" s="325"/>
      <c r="E285" s="121"/>
      <c r="F285" s="122"/>
      <c r="G285" s="143"/>
      <c r="H285" s="124"/>
      <c r="I285" s="48"/>
      <c r="J285" s="127">
        <f t="shared" si="58"/>
        <v>0</v>
      </c>
      <c r="K285" s="127"/>
      <c r="L285" s="127"/>
      <c r="M285" s="127"/>
    </row>
    <row r="286" spans="1:13" s="26" customFormat="1" ht="20.25" hidden="1" customHeight="1" x14ac:dyDescent="0.3">
      <c r="A286" s="9" t="str">
        <f t="shared" si="64"/>
        <v/>
      </c>
      <c r="B286" s="10" t="s">
        <v>146</v>
      </c>
      <c r="C286" s="32"/>
      <c r="D286" s="93"/>
      <c r="E286" s="120"/>
      <c r="F286" s="93"/>
      <c r="G286" s="94"/>
      <c r="H286" s="120"/>
      <c r="I286" s="37"/>
      <c r="J286" s="98">
        <f t="shared" si="58"/>
        <v>0</v>
      </c>
      <c r="K286" s="98"/>
      <c r="L286" s="98"/>
      <c r="M286" s="98"/>
    </row>
    <row r="287" spans="1:13" s="12" customFormat="1" ht="58.5" hidden="1" customHeight="1" x14ac:dyDescent="0.25">
      <c r="A287" s="9" t="str">
        <f t="shared" si="64"/>
        <v/>
      </c>
      <c r="B287" s="10" t="s">
        <v>146</v>
      </c>
      <c r="C287" s="31"/>
      <c r="D287" s="116"/>
      <c r="E287" s="120"/>
      <c r="F287" s="93"/>
      <c r="G287" s="94"/>
      <c r="H287" s="120"/>
      <c r="I287" s="37"/>
      <c r="J287" s="98">
        <f t="shared" si="58"/>
        <v>0</v>
      </c>
      <c r="K287" s="98"/>
      <c r="L287" s="98"/>
      <c r="M287" s="98"/>
    </row>
    <row r="288" spans="1:13" s="12" customFormat="1" ht="21" hidden="1" customHeight="1" x14ac:dyDescent="0.25">
      <c r="A288" s="9" t="str">
        <f t="shared" si="64"/>
        <v/>
      </c>
      <c r="B288" s="67" t="s">
        <v>146</v>
      </c>
      <c r="C288" s="31"/>
      <c r="D288" s="116" t="s">
        <v>61</v>
      </c>
      <c r="E288" s="92">
        <v>9770</v>
      </c>
      <c r="F288" s="93" t="s">
        <v>125</v>
      </c>
      <c r="G288" s="94" t="s">
        <v>63</v>
      </c>
      <c r="H288" s="120"/>
      <c r="I288" s="96"/>
      <c r="J288" s="98">
        <f t="shared" si="58"/>
        <v>0</v>
      </c>
      <c r="K288" s="98"/>
      <c r="L288" s="98"/>
      <c r="M288" s="98"/>
    </row>
    <row r="289" spans="1:13" s="12" customFormat="1" ht="56.25" x14ac:dyDescent="0.25">
      <c r="A289" s="9" t="str">
        <f t="shared" si="64"/>
        <v>п</v>
      </c>
      <c r="B289" s="67" t="s">
        <v>146</v>
      </c>
      <c r="C289" s="31"/>
      <c r="D289" s="260" t="s">
        <v>78</v>
      </c>
      <c r="E289" s="175" t="s">
        <v>79</v>
      </c>
      <c r="F289" s="179" t="s">
        <v>125</v>
      </c>
      <c r="G289" s="278" t="s">
        <v>80</v>
      </c>
      <c r="H289" s="166"/>
      <c r="I289" s="47"/>
      <c r="J289" s="168">
        <f t="shared" si="58"/>
        <v>200000</v>
      </c>
      <c r="K289" s="169">
        <f>200000-112500-60000</f>
        <v>27500</v>
      </c>
      <c r="L289" s="169">
        <f>112500+60000</f>
        <v>172500</v>
      </c>
      <c r="M289" s="169">
        <f>112500+60000</f>
        <v>172500</v>
      </c>
    </row>
    <row r="290" spans="1:13" s="12" customFormat="1" hidden="1" x14ac:dyDescent="0.25">
      <c r="A290" s="9" t="str">
        <f t="shared" si="64"/>
        <v/>
      </c>
      <c r="B290" s="10" t="s">
        <v>146</v>
      </c>
      <c r="C290" s="31"/>
      <c r="D290" s="116"/>
      <c r="E290" s="175"/>
      <c r="F290" s="179"/>
      <c r="G290" s="278"/>
      <c r="H290" s="175"/>
      <c r="I290" s="47"/>
      <c r="J290" s="20">
        <f t="shared" si="58"/>
        <v>0</v>
      </c>
      <c r="K290" s="20"/>
      <c r="L290" s="20"/>
      <c r="M290" s="20"/>
    </row>
    <row r="291" spans="1:13" s="19" customFormat="1" ht="24" hidden="1" customHeight="1" x14ac:dyDescent="0.25">
      <c r="A291" s="9" t="str">
        <f t="shared" si="64"/>
        <v/>
      </c>
      <c r="B291" s="10" t="s">
        <v>148</v>
      </c>
      <c r="C291" s="10"/>
      <c r="D291" s="84" t="s">
        <v>40</v>
      </c>
      <c r="E291" s="85"/>
      <c r="F291" s="85"/>
      <c r="G291" s="86" t="s">
        <v>362</v>
      </c>
      <c r="H291" s="106"/>
      <c r="I291" s="58"/>
      <c r="J291" s="108">
        <f t="shared" si="58"/>
        <v>0</v>
      </c>
      <c r="K291" s="109">
        <f>+K292</f>
        <v>0</v>
      </c>
      <c r="L291" s="109">
        <f>+L292</f>
        <v>0</v>
      </c>
      <c r="M291" s="109">
        <f>+M292</f>
        <v>0</v>
      </c>
    </row>
    <row r="292" spans="1:13" s="19" customFormat="1" ht="24" hidden="1" customHeight="1" x14ac:dyDescent="0.25">
      <c r="A292" s="9" t="str">
        <f t="shared" si="64"/>
        <v/>
      </c>
      <c r="B292" s="10" t="s">
        <v>148</v>
      </c>
      <c r="C292" s="10"/>
      <c r="D292" s="84" t="s">
        <v>41</v>
      </c>
      <c r="E292" s="85"/>
      <c r="F292" s="85"/>
      <c r="G292" s="86" t="s">
        <v>362</v>
      </c>
      <c r="H292" s="106"/>
      <c r="I292" s="58"/>
      <c r="J292" s="108">
        <f t="shared" si="58"/>
        <v>0</v>
      </c>
      <c r="K292" s="109">
        <f>SUM(K293:K299)-K296-K294</f>
        <v>0</v>
      </c>
      <c r="L292" s="109">
        <f>SUM(L293:L299)-L296-L294</f>
        <v>0</v>
      </c>
      <c r="M292" s="109">
        <f>SUM(M293:M299)-M296-M294</f>
        <v>0</v>
      </c>
    </row>
    <row r="293" spans="1:13" s="12" customFormat="1" ht="60.75" hidden="1" customHeight="1" x14ac:dyDescent="0.25">
      <c r="A293" s="9" t="str">
        <f t="shared" si="64"/>
        <v/>
      </c>
      <c r="B293" s="10" t="s">
        <v>148</v>
      </c>
      <c r="C293" s="10"/>
      <c r="D293" s="116" t="s">
        <v>107</v>
      </c>
      <c r="E293" s="93" t="s">
        <v>75</v>
      </c>
      <c r="F293" s="93" t="s">
        <v>76</v>
      </c>
      <c r="G293" s="278" t="s">
        <v>77</v>
      </c>
      <c r="H293" s="95" t="s">
        <v>118</v>
      </c>
      <c r="I293" s="37"/>
      <c r="J293" s="51">
        <f t="shared" si="58"/>
        <v>0</v>
      </c>
      <c r="K293" s="16"/>
      <c r="L293" s="14"/>
      <c r="M293" s="14"/>
    </row>
    <row r="294" spans="1:13" s="12" customFormat="1" ht="42" hidden="1" customHeight="1" x14ac:dyDescent="0.25">
      <c r="A294" s="9" t="str">
        <f t="shared" si="64"/>
        <v/>
      </c>
      <c r="B294" s="29" t="s">
        <v>148</v>
      </c>
      <c r="C294" s="32"/>
      <c r="D294" s="325"/>
      <c r="E294" s="121"/>
      <c r="F294" s="122"/>
      <c r="G294" s="123" t="s">
        <v>10</v>
      </c>
      <c r="H294" s="185"/>
      <c r="I294" s="48"/>
      <c r="J294" s="52">
        <f t="shared" si="58"/>
        <v>0</v>
      </c>
      <c r="K294" s="13"/>
      <c r="L294" s="13"/>
      <c r="M294" s="13"/>
    </row>
    <row r="295" spans="1:13" s="12" customFormat="1" ht="60.75" hidden="1" customHeight="1" x14ac:dyDescent="0.25">
      <c r="A295" s="9" t="str">
        <f t="shared" si="64"/>
        <v/>
      </c>
      <c r="B295" s="10" t="s">
        <v>148</v>
      </c>
      <c r="C295" s="10"/>
      <c r="D295" s="116" t="s">
        <v>207</v>
      </c>
      <c r="E295" s="92" t="s">
        <v>208</v>
      </c>
      <c r="F295" s="93" t="s">
        <v>127</v>
      </c>
      <c r="G295" s="94" t="s">
        <v>271</v>
      </c>
      <c r="H295" s="95" t="s">
        <v>118</v>
      </c>
      <c r="I295" s="96"/>
      <c r="J295" s="97">
        <f t="shared" si="58"/>
        <v>0</v>
      </c>
      <c r="K295" s="98"/>
      <c r="L295" s="111">
        <f>245000-245000</f>
        <v>0</v>
      </c>
      <c r="M295" s="111">
        <f>245000-245000</f>
        <v>0</v>
      </c>
    </row>
    <row r="296" spans="1:13" s="12" customFormat="1" ht="42" hidden="1" customHeight="1" x14ac:dyDescent="0.25">
      <c r="A296" s="9" t="str">
        <f t="shared" si="64"/>
        <v/>
      </c>
      <c r="B296" s="29" t="s">
        <v>148</v>
      </c>
      <c r="C296" s="32"/>
      <c r="D296" s="325"/>
      <c r="E296" s="121"/>
      <c r="F296" s="122"/>
      <c r="G296" s="123" t="s">
        <v>10</v>
      </c>
      <c r="H296" s="185"/>
      <c r="I296" s="48"/>
      <c r="J296" s="52">
        <f t="shared" si="58"/>
        <v>0</v>
      </c>
      <c r="K296" s="13"/>
      <c r="L296" s="13"/>
      <c r="M296" s="13"/>
    </row>
    <row r="297" spans="1:13" s="12" customFormat="1" ht="42.75" hidden="1" customHeight="1" x14ac:dyDescent="0.25">
      <c r="A297" s="9" t="str">
        <f t="shared" si="64"/>
        <v/>
      </c>
      <c r="B297" s="10" t="s">
        <v>148</v>
      </c>
      <c r="C297" s="10"/>
      <c r="D297" s="116" t="s">
        <v>288</v>
      </c>
      <c r="E297" s="92" t="s">
        <v>289</v>
      </c>
      <c r="F297" s="93" t="s">
        <v>160</v>
      </c>
      <c r="G297" s="94" t="s">
        <v>290</v>
      </c>
      <c r="H297" s="133"/>
      <c r="I297" s="38"/>
      <c r="J297" s="135">
        <f t="shared" si="58"/>
        <v>0</v>
      </c>
      <c r="K297" s="136"/>
      <c r="L297" s="136"/>
      <c r="M297" s="136"/>
    </row>
    <row r="298" spans="1:13" s="12" customFormat="1" ht="41.25" hidden="1" customHeight="1" x14ac:dyDescent="0.25">
      <c r="A298" s="9" t="str">
        <f t="shared" si="64"/>
        <v/>
      </c>
      <c r="B298" s="10" t="s">
        <v>148</v>
      </c>
      <c r="C298" s="10"/>
      <c r="D298" s="116" t="s">
        <v>294</v>
      </c>
      <c r="E298" s="92" t="s">
        <v>295</v>
      </c>
      <c r="F298" s="93" t="s">
        <v>160</v>
      </c>
      <c r="G298" s="94" t="s">
        <v>296</v>
      </c>
      <c r="H298" s="120"/>
      <c r="I298" s="37"/>
      <c r="J298" s="98">
        <f t="shared" si="58"/>
        <v>0</v>
      </c>
      <c r="K298" s="98"/>
      <c r="L298" s="111"/>
      <c r="M298" s="111"/>
    </row>
    <row r="299" spans="1:13" s="12" customFormat="1" hidden="1" x14ac:dyDescent="0.25">
      <c r="A299" s="9" t="str">
        <f t="shared" si="64"/>
        <v/>
      </c>
      <c r="B299" s="10" t="s">
        <v>148</v>
      </c>
      <c r="C299" s="10"/>
      <c r="D299" s="93"/>
      <c r="E299" s="93"/>
      <c r="F299" s="93"/>
      <c r="G299" s="94"/>
      <c r="H299" s="120"/>
      <c r="I299" s="37"/>
      <c r="J299" s="16">
        <f t="shared" si="58"/>
        <v>0</v>
      </c>
      <c r="K299" s="16"/>
      <c r="L299" s="14"/>
      <c r="M299" s="14"/>
    </row>
    <row r="300" spans="1:13" s="19" customFormat="1" ht="39" hidden="1" x14ac:dyDescent="0.25">
      <c r="A300" s="66" t="str">
        <f t="shared" si="64"/>
        <v/>
      </c>
      <c r="B300" s="10" t="s">
        <v>147</v>
      </c>
      <c r="C300" s="10"/>
      <c r="D300" s="104" t="s">
        <v>16</v>
      </c>
      <c r="E300" s="104"/>
      <c r="F300" s="104"/>
      <c r="G300" s="105" t="s">
        <v>360</v>
      </c>
      <c r="H300" s="172"/>
      <c r="I300" s="88"/>
      <c r="J300" s="90">
        <f t="shared" si="58"/>
        <v>0</v>
      </c>
      <c r="K300" s="90">
        <f>+K301</f>
        <v>0</v>
      </c>
      <c r="L300" s="90">
        <f>+L301</f>
        <v>0</v>
      </c>
      <c r="M300" s="90">
        <f>+M301</f>
        <v>0</v>
      </c>
    </row>
    <row r="301" spans="1:13" s="19" customFormat="1" ht="39" hidden="1" x14ac:dyDescent="0.25">
      <c r="A301" s="66" t="str">
        <f t="shared" si="64"/>
        <v/>
      </c>
      <c r="B301" s="10" t="s">
        <v>147</v>
      </c>
      <c r="C301" s="10"/>
      <c r="D301" s="104" t="s">
        <v>17</v>
      </c>
      <c r="E301" s="104"/>
      <c r="F301" s="104"/>
      <c r="G301" s="105" t="s">
        <v>360</v>
      </c>
      <c r="H301" s="172"/>
      <c r="I301" s="88"/>
      <c r="J301" s="90">
        <f t="shared" si="58"/>
        <v>0</v>
      </c>
      <c r="K301" s="90">
        <f>SUM(K302)</f>
        <v>0</v>
      </c>
      <c r="L301" s="90">
        <f>SUM(L302)</f>
        <v>0</v>
      </c>
      <c r="M301" s="90">
        <f>SUM(M302)</f>
        <v>0</v>
      </c>
    </row>
    <row r="302" spans="1:13" s="12" customFormat="1" ht="60" hidden="1" customHeight="1" x14ac:dyDescent="0.25">
      <c r="A302" s="66" t="str">
        <f t="shared" si="64"/>
        <v/>
      </c>
      <c r="B302" s="10" t="s">
        <v>147</v>
      </c>
      <c r="C302" s="10"/>
      <c r="D302" s="116" t="s">
        <v>179</v>
      </c>
      <c r="E302" s="93" t="s">
        <v>75</v>
      </c>
      <c r="F302" s="93" t="s">
        <v>76</v>
      </c>
      <c r="G302" s="278" t="s">
        <v>77</v>
      </c>
      <c r="H302" s="166"/>
      <c r="I302" s="167"/>
      <c r="J302" s="168">
        <f t="shared" si="58"/>
        <v>0</v>
      </c>
      <c r="K302" s="169"/>
      <c r="L302" s="169"/>
      <c r="M302" s="169"/>
    </row>
    <row r="303" spans="1:13" s="26" customFormat="1" ht="6.75" hidden="1" customHeight="1" x14ac:dyDescent="0.3">
      <c r="A303" s="9" t="str">
        <f t="shared" si="64"/>
        <v/>
      </c>
      <c r="B303" s="29" t="s">
        <v>147</v>
      </c>
      <c r="C303" s="32"/>
      <c r="D303" s="325"/>
      <c r="E303" s="121"/>
      <c r="F303" s="122"/>
      <c r="G303" s="123" t="s">
        <v>10</v>
      </c>
      <c r="H303" s="185"/>
      <c r="I303" s="48"/>
      <c r="J303" s="52">
        <f t="shared" si="58"/>
        <v>0</v>
      </c>
      <c r="K303" s="13"/>
      <c r="L303" s="13"/>
      <c r="M303" s="13"/>
    </row>
    <row r="304" spans="1:13" s="103" customFormat="1" ht="39" x14ac:dyDescent="0.3">
      <c r="A304" s="66" t="str">
        <f t="shared" si="64"/>
        <v>п</v>
      </c>
      <c r="B304" s="67" t="s">
        <v>6</v>
      </c>
      <c r="C304" s="10"/>
      <c r="D304" s="129" t="s">
        <v>134</v>
      </c>
      <c r="E304" s="104"/>
      <c r="F304" s="104"/>
      <c r="G304" s="105" t="s">
        <v>361</v>
      </c>
      <c r="H304" s="87"/>
      <c r="I304" s="88"/>
      <c r="J304" s="89">
        <f t="shared" si="58"/>
        <v>1016333</v>
      </c>
      <c r="K304" s="90">
        <f>+K305</f>
        <v>694133</v>
      </c>
      <c r="L304" s="90">
        <f>+L305</f>
        <v>322200</v>
      </c>
      <c r="M304" s="90">
        <f>+M305</f>
        <v>322200</v>
      </c>
    </row>
    <row r="305" spans="1:13" s="103" customFormat="1" ht="39" x14ac:dyDescent="0.3">
      <c r="A305" s="66" t="str">
        <f t="shared" si="64"/>
        <v>п</v>
      </c>
      <c r="B305" s="67" t="s">
        <v>6</v>
      </c>
      <c r="C305" s="10"/>
      <c r="D305" s="129" t="s">
        <v>135</v>
      </c>
      <c r="E305" s="104"/>
      <c r="F305" s="104"/>
      <c r="G305" s="105" t="s">
        <v>361</v>
      </c>
      <c r="H305" s="87"/>
      <c r="I305" s="88"/>
      <c r="J305" s="89">
        <f t="shared" si="58"/>
        <v>1016333</v>
      </c>
      <c r="K305" s="90">
        <f>SUM(K306:K313)-K310</f>
        <v>694133</v>
      </c>
      <c r="L305" s="90">
        <f>SUM(L306:L313)-L310</f>
        <v>322200</v>
      </c>
      <c r="M305" s="90">
        <f>SUM(M306:M313)-M310</f>
        <v>322200</v>
      </c>
    </row>
    <row r="306" spans="1:13" s="102" customFormat="1" ht="19.5" hidden="1" customHeight="1" x14ac:dyDescent="0.3">
      <c r="A306" s="66" t="str">
        <f t="shared" si="64"/>
        <v/>
      </c>
      <c r="B306" s="67" t="s">
        <v>6</v>
      </c>
      <c r="C306" s="10"/>
      <c r="D306" s="116" t="s">
        <v>157</v>
      </c>
      <c r="E306" s="92" t="s">
        <v>158</v>
      </c>
      <c r="F306" s="93" t="s">
        <v>13</v>
      </c>
      <c r="G306" s="94" t="s">
        <v>159</v>
      </c>
      <c r="H306" s="133"/>
      <c r="I306" s="134"/>
      <c r="J306" s="135">
        <f t="shared" si="58"/>
        <v>0</v>
      </c>
      <c r="K306" s="136"/>
      <c r="L306" s="111"/>
      <c r="M306" s="111"/>
    </row>
    <row r="307" spans="1:13" s="102" customFormat="1" ht="19.5" customHeight="1" x14ac:dyDescent="0.3">
      <c r="A307" s="66" t="str">
        <f t="shared" si="64"/>
        <v>п</v>
      </c>
      <c r="B307" s="67" t="s">
        <v>6</v>
      </c>
      <c r="C307" s="10"/>
      <c r="D307" s="93" t="s">
        <v>163</v>
      </c>
      <c r="E307" s="93" t="s">
        <v>162</v>
      </c>
      <c r="F307" s="93" t="s">
        <v>13</v>
      </c>
      <c r="G307" s="94" t="s">
        <v>164</v>
      </c>
      <c r="H307" s="185"/>
      <c r="I307" s="125"/>
      <c r="J307" s="97">
        <f t="shared" si="58"/>
        <v>694133</v>
      </c>
      <c r="K307" s="98">
        <v>694133</v>
      </c>
      <c r="L307" s="111"/>
      <c r="M307" s="111"/>
    </row>
    <row r="308" spans="1:13" s="102" customFormat="1" ht="19.5" hidden="1" customHeight="1" x14ac:dyDescent="0.3">
      <c r="A308" s="66" t="str">
        <f t="shared" si="64"/>
        <v/>
      </c>
      <c r="B308" s="67" t="s">
        <v>6</v>
      </c>
      <c r="C308" s="67"/>
      <c r="D308" s="116" t="s">
        <v>114</v>
      </c>
      <c r="E308" s="93" t="s">
        <v>115</v>
      </c>
      <c r="F308" s="93" t="s">
        <v>84</v>
      </c>
      <c r="G308" s="94" t="s">
        <v>116</v>
      </c>
      <c r="H308" s="124"/>
      <c r="I308" s="125"/>
      <c r="J308" s="98">
        <f t="shared" si="58"/>
        <v>0</v>
      </c>
      <c r="K308" s="98"/>
      <c r="L308" s="111"/>
      <c r="M308" s="111"/>
    </row>
    <row r="309" spans="1:13" s="102" customFormat="1" ht="39.75" hidden="1" customHeight="1" x14ac:dyDescent="0.3">
      <c r="A309" s="66" t="str">
        <f t="shared" si="64"/>
        <v/>
      </c>
      <c r="B309" s="67" t="s">
        <v>6</v>
      </c>
      <c r="C309" s="10"/>
      <c r="D309" s="93" t="s">
        <v>196</v>
      </c>
      <c r="E309" s="93" t="s">
        <v>197</v>
      </c>
      <c r="F309" s="93" t="s">
        <v>198</v>
      </c>
      <c r="G309" s="94" t="s">
        <v>199</v>
      </c>
      <c r="H309" s="124"/>
      <c r="I309" s="125"/>
      <c r="J309" s="98">
        <f t="shared" si="58"/>
        <v>0</v>
      </c>
      <c r="K309" s="98"/>
      <c r="L309" s="111">
        <f>300000-300000</f>
        <v>0</v>
      </c>
      <c r="M309" s="111">
        <f>300000-300000</f>
        <v>0</v>
      </c>
    </row>
    <row r="310" spans="1:13" s="26" customFormat="1" ht="42" hidden="1" customHeight="1" x14ac:dyDescent="0.3">
      <c r="A310" s="66" t="str">
        <f>IF(J310=0,"","п")</f>
        <v/>
      </c>
      <c r="B310" s="67" t="s">
        <v>6</v>
      </c>
      <c r="C310" s="348"/>
      <c r="D310" s="325"/>
      <c r="E310" s="121"/>
      <c r="F310" s="122"/>
      <c r="G310" s="123" t="s">
        <v>10</v>
      </c>
      <c r="H310" s="185"/>
      <c r="I310" s="48"/>
      <c r="J310" s="126">
        <f>+K310+L310</f>
        <v>0</v>
      </c>
      <c r="K310" s="127"/>
      <c r="L310" s="13"/>
      <c r="M310" s="13"/>
    </row>
    <row r="311" spans="1:13" s="12" customFormat="1" ht="24.75" customHeight="1" x14ac:dyDescent="0.25">
      <c r="A311" s="9" t="str">
        <f>IF(J311=0,"","п")</f>
        <v>п</v>
      </c>
      <c r="B311" s="67" t="s">
        <v>6</v>
      </c>
      <c r="C311" s="10"/>
      <c r="D311" s="93" t="s">
        <v>390</v>
      </c>
      <c r="E311" s="93" t="s">
        <v>391</v>
      </c>
      <c r="F311" s="93" t="s">
        <v>13</v>
      </c>
      <c r="G311" s="94" t="s">
        <v>392</v>
      </c>
      <c r="H311" s="124"/>
      <c r="I311" s="48"/>
      <c r="J311" s="98">
        <f>+K311+L311</f>
        <v>322200</v>
      </c>
      <c r="K311" s="98"/>
      <c r="L311" s="111">
        <f>300000+22200</f>
        <v>322200</v>
      </c>
      <c r="M311" s="111">
        <f>300000+22200</f>
        <v>322200</v>
      </c>
    </row>
    <row r="312" spans="1:13" s="12" customFormat="1" ht="32.25" hidden="1" customHeight="1" x14ac:dyDescent="0.25">
      <c r="A312" s="9" t="str">
        <f>IF(J312=0,"","п")</f>
        <v/>
      </c>
      <c r="B312" s="67" t="s">
        <v>6</v>
      </c>
      <c r="C312" s="10"/>
      <c r="D312" s="93" t="s">
        <v>240</v>
      </c>
      <c r="E312" s="93" t="s">
        <v>241</v>
      </c>
      <c r="F312" s="93" t="s">
        <v>100</v>
      </c>
      <c r="G312" s="94" t="s">
        <v>242</v>
      </c>
      <c r="H312" s="124"/>
      <c r="I312" s="48"/>
      <c r="J312" s="98">
        <f>+K312+L312</f>
        <v>0</v>
      </c>
      <c r="K312" s="98"/>
      <c r="L312" s="111"/>
      <c r="M312" s="111"/>
    </row>
    <row r="313" spans="1:13" s="12" customFormat="1" ht="37.5" hidden="1" x14ac:dyDescent="0.25">
      <c r="A313" s="9" t="str">
        <f t="shared" si="64"/>
        <v/>
      </c>
      <c r="B313" s="67" t="s">
        <v>6</v>
      </c>
      <c r="C313" s="10"/>
      <c r="D313" s="116">
        <v>1015031</v>
      </c>
      <c r="E313" s="93" t="s">
        <v>32</v>
      </c>
      <c r="F313" s="93" t="s">
        <v>121</v>
      </c>
      <c r="G313" s="119" t="s">
        <v>136</v>
      </c>
      <c r="H313" s="124"/>
      <c r="I313" s="48"/>
      <c r="J313" s="98">
        <f t="shared" ref="J313:J348" si="65">+K313+L313</f>
        <v>0</v>
      </c>
      <c r="K313" s="98"/>
      <c r="L313" s="111"/>
      <c r="M313" s="111"/>
    </row>
    <row r="314" spans="1:13" s="103" customFormat="1" ht="43.5" customHeight="1" x14ac:dyDescent="0.3">
      <c r="A314" s="66" t="str">
        <f t="shared" si="64"/>
        <v>п</v>
      </c>
      <c r="B314" s="67" t="s">
        <v>149</v>
      </c>
      <c r="C314" s="10"/>
      <c r="D314" s="129" t="s">
        <v>47</v>
      </c>
      <c r="E314" s="104"/>
      <c r="F314" s="104"/>
      <c r="G314" s="105" t="s">
        <v>363</v>
      </c>
      <c r="H314" s="87"/>
      <c r="I314" s="88"/>
      <c r="J314" s="89">
        <f t="shared" si="65"/>
        <v>45266315</v>
      </c>
      <c r="K314" s="90">
        <f>K315</f>
        <v>13750023</v>
      </c>
      <c r="L314" s="90">
        <f>L315</f>
        <v>31516292</v>
      </c>
      <c r="M314" s="90">
        <f>M315</f>
        <v>31516292</v>
      </c>
    </row>
    <row r="315" spans="1:13" s="103" customFormat="1" ht="42.75" customHeight="1" x14ac:dyDescent="0.3">
      <c r="A315" s="66" t="str">
        <f t="shared" si="64"/>
        <v>п</v>
      </c>
      <c r="B315" s="67" t="s">
        <v>149</v>
      </c>
      <c r="C315" s="67"/>
      <c r="D315" s="129" t="s">
        <v>48</v>
      </c>
      <c r="E315" s="104"/>
      <c r="F315" s="104"/>
      <c r="G315" s="105" t="s">
        <v>363</v>
      </c>
      <c r="H315" s="106"/>
      <c r="I315" s="107"/>
      <c r="J315" s="108">
        <f>+K315+L315</f>
        <v>45266315</v>
      </c>
      <c r="K315" s="90">
        <f>SUM(K316:K342)-K337-K339-K334-K335-K341-K342</f>
        <v>13750023</v>
      </c>
      <c r="L315" s="90">
        <f>SUM(L316:L342)-L337-L339-L334-L335-L341-L342</f>
        <v>31516292</v>
      </c>
      <c r="M315" s="90">
        <f>SUM(M316:M342)-M337-M339-M334-M335-M341-M342</f>
        <v>31516292</v>
      </c>
    </row>
    <row r="316" spans="1:13" s="102" customFormat="1" ht="60.75" hidden="1" customHeight="1" x14ac:dyDescent="0.3">
      <c r="A316" s="66" t="str">
        <f t="shared" si="64"/>
        <v/>
      </c>
      <c r="B316" s="67" t="s">
        <v>149</v>
      </c>
      <c r="C316" s="345"/>
      <c r="D316" s="179" t="s">
        <v>74</v>
      </c>
      <c r="E316" s="179" t="s">
        <v>75</v>
      </c>
      <c r="F316" s="93" t="s">
        <v>76</v>
      </c>
      <c r="G316" s="278" t="s">
        <v>77</v>
      </c>
      <c r="H316" s="166"/>
      <c r="I316" s="167"/>
      <c r="J316" s="168">
        <f t="shared" si="65"/>
        <v>0</v>
      </c>
      <c r="K316" s="169"/>
      <c r="L316" s="169"/>
      <c r="M316" s="169"/>
    </row>
    <row r="317" spans="1:13" s="102" customFormat="1" ht="27" hidden="1" customHeight="1" x14ac:dyDescent="0.3">
      <c r="A317" s="66" t="str">
        <f t="shared" si="64"/>
        <v/>
      </c>
      <c r="B317" s="67" t="s">
        <v>149</v>
      </c>
      <c r="C317" s="67"/>
      <c r="D317" s="93" t="s">
        <v>64</v>
      </c>
      <c r="E317" s="93" t="s">
        <v>138</v>
      </c>
      <c r="F317" s="93" t="s">
        <v>126</v>
      </c>
      <c r="G317" s="94" t="s">
        <v>43</v>
      </c>
      <c r="H317" s="95"/>
      <c r="I317" s="96"/>
      <c r="J317" s="97">
        <f t="shared" si="65"/>
        <v>0</v>
      </c>
      <c r="K317" s="98"/>
      <c r="L317" s="111"/>
      <c r="M317" s="111"/>
    </row>
    <row r="318" spans="1:13" s="102" customFormat="1" ht="60.75" hidden="1" customHeight="1" x14ac:dyDescent="0.3">
      <c r="A318" s="66" t="str">
        <f>IF(J318=0,"","п")</f>
        <v/>
      </c>
      <c r="B318" s="67" t="s">
        <v>149</v>
      </c>
      <c r="C318" s="67"/>
      <c r="D318" s="116" t="s">
        <v>216</v>
      </c>
      <c r="E318" s="92" t="s">
        <v>208</v>
      </c>
      <c r="F318" s="93" t="s">
        <v>127</v>
      </c>
      <c r="G318" s="94" t="s">
        <v>271</v>
      </c>
      <c r="H318" s="95" t="s">
        <v>118</v>
      </c>
      <c r="I318" s="96"/>
      <c r="J318" s="169">
        <f t="shared" si="65"/>
        <v>0</v>
      </c>
      <c r="K318" s="169">
        <f>10000-10000</f>
        <v>0</v>
      </c>
      <c r="L318" s="169">
        <f>245000-245000</f>
        <v>0</v>
      </c>
      <c r="M318" s="169">
        <f>245000-245000</f>
        <v>0</v>
      </c>
    </row>
    <row r="319" spans="1:13" s="102" customFormat="1" ht="39.75" hidden="1" customHeight="1" x14ac:dyDescent="0.3">
      <c r="A319" s="66" t="str">
        <f t="shared" si="64"/>
        <v/>
      </c>
      <c r="B319" s="67" t="s">
        <v>149</v>
      </c>
      <c r="C319" s="366"/>
      <c r="D319" s="93" t="s">
        <v>65</v>
      </c>
      <c r="E319" s="93" t="s">
        <v>141</v>
      </c>
      <c r="F319" s="116" t="s">
        <v>130</v>
      </c>
      <c r="G319" s="278" t="s">
        <v>139</v>
      </c>
      <c r="H319" s="166"/>
      <c r="I319" s="167"/>
      <c r="J319" s="168">
        <f t="shared" si="65"/>
        <v>0</v>
      </c>
      <c r="K319" s="169"/>
      <c r="L319" s="169"/>
      <c r="M319" s="169"/>
    </row>
    <row r="320" spans="1:13" s="102" customFormat="1" ht="38.25" hidden="1" customHeight="1" x14ac:dyDescent="0.3">
      <c r="A320" s="66" t="str">
        <f t="shared" si="64"/>
        <v/>
      </c>
      <c r="B320" s="67" t="s">
        <v>149</v>
      </c>
      <c r="C320" s="366"/>
      <c r="D320" s="116">
        <v>1212111</v>
      </c>
      <c r="E320" s="92" t="s">
        <v>28</v>
      </c>
      <c r="F320" s="93" t="s">
        <v>70</v>
      </c>
      <c r="G320" s="94" t="s">
        <v>29</v>
      </c>
      <c r="H320" s="175"/>
      <c r="I320" s="167"/>
      <c r="J320" s="169">
        <f t="shared" si="65"/>
        <v>0</v>
      </c>
      <c r="K320" s="169"/>
      <c r="L320" s="169"/>
      <c r="M320" s="169"/>
    </row>
    <row r="321" spans="1:13" s="102" customFormat="1" ht="37.5" hidden="1" x14ac:dyDescent="0.3">
      <c r="A321" s="66" t="str">
        <f t="shared" si="64"/>
        <v/>
      </c>
      <c r="B321" s="67" t="s">
        <v>149</v>
      </c>
      <c r="C321" s="360"/>
      <c r="D321" s="93" t="s">
        <v>287</v>
      </c>
      <c r="E321" s="93" t="s">
        <v>197</v>
      </c>
      <c r="F321" s="93" t="s">
        <v>198</v>
      </c>
      <c r="G321" s="94" t="s">
        <v>199</v>
      </c>
      <c r="H321" s="120"/>
      <c r="I321" s="96"/>
      <c r="J321" s="98">
        <f t="shared" si="65"/>
        <v>0</v>
      </c>
      <c r="K321" s="98"/>
      <c r="L321" s="98"/>
      <c r="M321" s="98"/>
    </row>
    <row r="322" spans="1:13" s="102" customFormat="1" ht="19.5" hidden="1" customHeight="1" x14ac:dyDescent="0.3">
      <c r="A322" s="66" t="str">
        <f t="shared" si="64"/>
        <v/>
      </c>
      <c r="B322" s="67" t="s">
        <v>149</v>
      </c>
      <c r="C322" s="67"/>
      <c r="D322" s="93"/>
      <c r="E322" s="120"/>
      <c r="F322" s="93"/>
      <c r="G322" s="94"/>
      <c r="H322" s="175"/>
      <c r="I322" s="167"/>
      <c r="J322" s="169">
        <f t="shared" si="65"/>
        <v>0</v>
      </c>
      <c r="K322" s="169"/>
      <c r="L322" s="169">
        <f>1000000-1000000</f>
        <v>0</v>
      </c>
      <c r="M322" s="169">
        <f>1000000-1000000</f>
        <v>0</v>
      </c>
    </row>
    <row r="323" spans="1:13" s="102" customFormat="1" ht="37.5" hidden="1" customHeight="1" x14ac:dyDescent="0.3">
      <c r="A323" s="66" t="str">
        <f t="shared" si="64"/>
        <v/>
      </c>
      <c r="B323" s="67" t="s">
        <v>149</v>
      </c>
      <c r="C323" s="67"/>
      <c r="D323" s="93"/>
      <c r="E323" s="175"/>
      <c r="F323" s="179"/>
      <c r="G323" s="278"/>
      <c r="H323" s="269"/>
      <c r="I323" s="367"/>
      <c r="J323" s="169">
        <f t="shared" si="65"/>
        <v>0</v>
      </c>
      <c r="K323" s="169">
        <f>2398131-2398131</f>
        <v>0</v>
      </c>
      <c r="L323" s="169"/>
      <c r="M323" s="169"/>
    </row>
    <row r="324" spans="1:13" s="102" customFormat="1" ht="39.75" hidden="1" customHeight="1" x14ac:dyDescent="0.3">
      <c r="A324" s="66" t="str">
        <f t="shared" si="64"/>
        <v/>
      </c>
      <c r="B324" s="67" t="s">
        <v>149</v>
      </c>
      <c r="C324" s="345"/>
      <c r="D324" s="116">
        <v>1216017</v>
      </c>
      <c r="E324" s="92">
        <v>6017</v>
      </c>
      <c r="F324" s="93" t="s">
        <v>120</v>
      </c>
      <c r="G324" s="94" t="s">
        <v>105</v>
      </c>
      <c r="H324" s="175"/>
      <c r="I324" s="167"/>
      <c r="J324" s="169">
        <f t="shared" si="65"/>
        <v>0</v>
      </c>
      <c r="K324" s="169"/>
      <c r="L324" s="169"/>
      <c r="M324" s="169"/>
    </row>
    <row r="325" spans="1:13" s="102" customFormat="1" ht="52.5" hidden="1" customHeight="1" x14ac:dyDescent="0.3">
      <c r="A325" s="66" t="str">
        <f t="shared" si="64"/>
        <v/>
      </c>
      <c r="B325" s="67" t="s">
        <v>149</v>
      </c>
      <c r="C325" s="67"/>
      <c r="D325" s="179" t="s">
        <v>55</v>
      </c>
      <c r="E325" s="175" t="s">
        <v>56</v>
      </c>
      <c r="F325" s="93" t="s">
        <v>120</v>
      </c>
      <c r="G325" s="94" t="s">
        <v>57</v>
      </c>
      <c r="H325" s="166"/>
      <c r="I325" s="167"/>
      <c r="J325" s="168">
        <f t="shared" si="65"/>
        <v>0</v>
      </c>
      <c r="K325" s="169">
        <f>15000-15000</f>
        <v>0</v>
      </c>
      <c r="L325" s="169"/>
      <c r="M325" s="169"/>
    </row>
    <row r="326" spans="1:13" s="102" customFormat="1" ht="39.75" hidden="1" customHeight="1" x14ac:dyDescent="0.3">
      <c r="A326" s="66" t="str">
        <f>IF(J326=0,"","п")</f>
        <v/>
      </c>
      <c r="B326" s="67" t="s">
        <v>149</v>
      </c>
      <c r="C326" s="67"/>
      <c r="D326" s="93"/>
      <c r="E326" s="120"/>
      <c r="F326" s="93"/>
      <c r="G326" s="94"/>
      <c r="H326" s="95"/>
      <c r="I326" s="96"/>
      <c r="J326" s="97">
        <f t="shared" si="65"/>
        <v>0</v>
      </c>
      <c r="K326" s="98"/>
      <c r="L326" s="98"/>
      <c r="M326" s="98"/>
    </row>
    <row r="327" spans="1:13" s="102" customFormat="1" ht="39.75" hidden="1" customHeight="1" x14ac:dyDescent="0.3">
      <c r="A327" s="66" t="str">
        <f>IF(J327=0,"","п")</f>
        <v/>
      </c>
      <c r="B327" s="67" t="s">
        <v>149</v>
      </c>
      <c r="C327" s="67"/>
      <c r="D327" s="93" t="s">
        <v>49</v>
      </c>
      <c r="E327" s="120" t="s">
        <v>50</v>
      </c>
      <c r="F327" s="93" t="s">
        <v>120</v>
      </c>
      <c r="G327" s="94" t="s">
        <v>51</v>
      </c>
      <c r="H327" s="95"/>
      <c r="I327" s="96"/>
      <c r="J327" s="97">
        <f t="shared" si="65"/>
        <v>0</v>
      </c>
      <c r="K327" s="98"/>
      <c r="L327" s="98"/>
      <c r="M327" s="98"/>
    </row>
    <row r="328" spans="1:13" s="102" customFormat="1" ht="22.5" customHeight="1" x14ac:dyDescent="0.3">
      <c r="A328" s="66" t="str">
        <f t="shared" ref="A328" si="66">IF(J328=0,"","п")</f>
        <v>п</v>
      </c>
      <c r="B328" s="67" t="s">
        <v>149</v>
      </c>
      <c r="C328" s="360"/>
      <c r="D328" s="116" t="s">
        <v>246</v>
      </c>
      <c r="E328" s="92" t="s">
        <v>86</v>
      </c>
      <c r="F328" s="93" t="s">
        <v>87</v>
      </c>
      <c r="G328" s="94" t="s">
        <v>88</v>
      </c>
      <c r="H328" s="120"/>
      <c r="I328" s="96"/>
      <c r="J328" s="98">
        <f>+K328+L328</f>
        <v>68500</v>
      </c>
      <c r="K328" s="98">
        <v>68500</v>
      </c>
      <c r="L328" s="98"/>
      <c r="M328" s="98"/>
    </row>
    <row r="329" spans="1:13" s="102" customFormat="1" ht="23.25" customHeight="1" x14ac:dyDescent="0.3">
      <c r="A329" s="66" t="str">
        <f t="shared" si="64"/>
        <v>п</v>
      </c>
      <c r="B329" s="67" t="s">
        <v>149</v>
      </c>
      <c r="C329" s="67"/>
      <c r="D329" s="179" t="s">
        <v>345</v>
      </c>
      <c r="E329" s="175" t="s">
        <v>346</v>
      </c>
      <c r="F329" s="93" t="s">
        <v>173</v>
      </c>
      <c r="G329" s="176" t="s">
        <v>347</v>
      </c>
      <c r="H329" s="166"/>
      <c r="I329" s="167"/>
      <c r="J329" s="168">
        <f>+K329+L329</f>
        <v>2196645</v>
      </c>
      <c r="K329" s="169"/>
      <c r="L329" s="98">
        <f>1593945+602700</f>
        <v>2196645</v>
      </c>
      <c r="M329" s="98">
        <f>1593945+602700</f>
        <v>2196645</v>
      </c>
    </row>
    <row r="330" spans="1:13" s="102" customFormat="1" hidden="1" x14ac:dyDescent="0.3">
      <c r="A330" s="66" t="str">
        <f t="shared" si="64"/>
        <v/>
      </c>
      <c r="B330" s="67" t="s">
        <v>149</v>
      </c>
      <c r="C330" s="67"/>
      <c r="D330" s="179" t="s">
        <v>151</v>
      </c>
      <c r="E330" s="175" t="s">
        <v>152</v>
      </c>
      <c r="F330" s="179" t="s">
        <v>123</v>
      </c>
      <c r="G330" s="186" t="s">
        <v>153</v>
      </c>
      <c r="H330" s="175"/>
      <c r="I330" s="167"/>
      <c r="J330" s="168">
        <f t="shared" si="65"/>
        <v>0</v>
      </c>
      <c r="K330" s="169"/>
      <c r="L330" s="169"/>
      <c r="M330" s="169"/>
    </row>
    <row r="331" spans="1:13" s="102" customFormat="1" ht="24" hidden="1" customHeight="1" x14ac:dyDescent="0.3">
      <c r="A331" s="66" t="str">
        <f t="shared" si="64"/>
        <v/>
      </c>
      <c r="B331" s="67" t="s">
        <v>149</v>
      </c>
      <c r="C331" s="67"/>
      <c r="D331" s="179">
        <v>1217322</v>
      </c>
      <c r="E331" s="175">
        <v>7322</v>
      </c>
      <c r="F331" s="179" t="s">
        <v>123</v>
      </c>
      <c r="G331" s="186" t="s">
        <v>73</v>
      </c>
      <c r="H331" s="166"/>
      <c r="I331" s="167"/>
      <c r="J331" s="168">
        <f t="shared" si="65"/>
        <v>0</v>
      </c>
      <c r="K331" s="169"/>
      <c r="L331" s="302"/>
      <c r="M331" s="302"/>
    </row>
    <row r="332" spans="1:13" s="102" customFormat="1" ht="37.5" hidden="1" x14ac:dyDescent="0.3">
      <c r="A332" s="66" t="str">
        <f>IF(J332=0,"","п")</f>
        <v/>
      </c>
      <c r="B332" s="67" t="s">
        <v>149</v>
      </c>
      <c r="C332" s="67"/>
      <c r="D332" s="179" t="s">
        <v>244</v>
      </c>
      <c r="E332" s="175">
        <v>7325</v>
      </c>
      <c r="F332" s="179" t="s">
        <v>123</v>
      </c>
      <c r="G332" s="186" t="s">
        <v>245</v>
      </c>
      <c r="H332" s="166"/>
      <c r="I332" s="167"/>
      <c r="J332" s="168">
        <f t="shared" si="65"/>
        <v>0</v>
      </c>
      <c r="K332" s="169"/>
      <c r="L332" s="302">
        <f>600000-600000</f>
        <v>0</v>
      </c>
      <c r="M332" s="302">
        <f>600000-600000</f>
        <v>0</v>
      </c>
    </row>
    <row r="333" spans="1:13" s="139" customFormat="1" ht="39.75" customHeight="1" x14ac:dyDescent="0.3">
      <c r="A333" s="66" t="str">
        <f t="shared" si="64"/>
        <v>п</v>
      </c>
      <c r="B333" s="118" t="s">
        <v>149</v>
      </c>
      <c r="C333" s="118"/>
      <c r="D333" s="179" t="s">
        <v>176</v>
      </c>
      <c r="E333" s="175" t="s">
        <v>177</v>
      </c>
      <c r="F333" s="179" t="s">
        <v>173</v>
      </c>
      <c r="G333" s="186" t="s">
        <v>178</v>
      </c>
      <c r="H333" s="166"/>
      <c r="I333" s="167"/>
      <c r="J333" s="168">
        <f t="shared" si="65"/>
        <v>20337339</v>
      </c>
      <c r="K333" s="169">
        <f>18633+5500+947</f>
        <v>25080</v>
      </c>
      <c r="L333" s="169">
        <f>4603668+16090701-4603668+64080+138724+4019701-947</f>
        <v>20312259</v>
      </c>
      <c r="M333" s="169">
        <f>4603668+16090701-4603668+64080+138724+4019701-947</f>
        <v>20312259</v>
      </c>
    </row>
    <row r="334" spans="1:13" s="102" customFormat="1" ht="42.75" hidden="1" customHeight="1" x14ac:dyDescent="0.3">
      <c r="A334" s="66" t="str">
        <f>IF(J334=0,"","п")</f>
        <v/>
      </c>
      <c r="B334" s="67" t="s">
        <v>149</v>
      </c>
      <c r="C334" s="67"/>
      <c r="D334" s="188"/>
      <c r="E334" s="187"/>
      <c r="F334" s="188"/>
      <c r="G334" s="123" t="s">
        <v>117</v>
      </c>
      <c r="H334" s="189"/>
      <c r="I334" s="190"/>
      <c r="J334" s="191">
        <f t="shared" si="65"/>
        <v>0</v>
      </c>
      <c r="K334" s="192"/>
      <c r="L334" s="192"/>
      <c r="M334" s="192"/>
    </row>
    <row r="335" spans="1:13" s="139" customFormat="1" ht="27" hidden="1" customHeight="1" x14ac:dyDescent="0.3">
      <c r="A335" s="117" t="str">
        <f t="shared" ref="A335" si="67">IF(J335=0,"","п")</f>
        <v/>
      </c>
      <c r="B335" s="118" t="s">
        <v>149</v>
      </c>
      <c r="C335" s="118"/>
      <c r="D335" s="188"/>
      <c r="E335" s="187"/>
      <c r="F335" s="188"/>
      <c r="G335" s="342" t="s">
        <v>239</v>
      </c>
      <c r="H335" s="185"/>
      <c r="I335" s="190"/>
      <c r="J335" s="191">
        <f t="shared" ref="J335" si="68">+K335+L335</f>
        <v>0</v>
      </c>
      <c r="K335" s="192"/>
      <c r="L335" s="192">
        <f>4603668-4603668</f>
        <v>0</v>
      </c>
      <c r="M335" s="192">
        <f>4603668-4603668</f>
        <v>0</v>
      </c>
    </row>
    <row r="336" spans="1:13" s="102" customFormat="1" ht="29.25" customHeight="1" x14ac:dyDescent="0.3">
      <c r="A336" s="66" t="str">
        <f t="shared" si="64"/>
        <v>п</v>
      </c>
      <c r="B336" s="67" t="s">
        <v>149</v>
      </c>
      <c r="C336" s="67"/>
      <c r="D336" s="179" t="s">
        <v>305</v>
      </c>
      <c r="E336" s="175">
        <v>7330</v>
      </c>
      <c r="F336" s="179" t="s">
        <v>123</v>
      </c>
      <c r="G336" s="278" t="s">
        <v>369</v>
      </c>
      <c r="I336" s="120"/>
      <c r="J336" s="168">
        <f t="shared" si="65"/>
        <v>5617188</v>
      </c>
      <c r="K336" s="177"/>
      <c r="L336" s="169">
        <f>1498000+1497264+150000+3577770-100000+100000-1105846</f>
        <v>5617188</v>
      </c>
      <c r="M336" s="169">
        <f>1498000+1497264+150000+3577770-100000+100000-1105846</f>
        <v>5617188</v>
      </c>
    </row>
    <row r="337" spans="1:13" s="102" customFormat="1" ht="41.25" hidden="1" customHeight="1" x14ac:dyDescent="0.3">
      <c r="A337" s="66" t="str">
        <f t="shared" si="64"/>
        <v/>
      </c>
      <c r="B337" s="67" t="s">
        <v>149</v>
      </c>
      <c r="C337" s="67"/>
      <c r="D337" s="188"/>
      <c r="E337" s="187"/>
      <c r="F337" s="188"/>
      <c r="G337" s="123" t="s">
        <v>175</v>
      </c>
      <c r="H337" s="383"/>
      <c r="I337" s="190"/>
      <c r="J337" s="168">
        <f t="shared" si="65"/>
        <v>0</v>
      </c>
      <c r="K337" s="192"/>
      <c r="L337" s="192"/>
      <c r="M337" s="192"/>
    </row>
    <row r="338" spans="1:13" s="102" customFormat="1" ht="38.25" hidden="1" customHeight="1" x14ac:dyDescent="0.3">
      <c r="A338" s="66" t="str">
        <f t="shared" si="64"/>
        <v/>
      </c>
      <c r="B338" s="67" t="s">
        <v>149</v>
      </c>
      <c r="C338" s="67"/>
      <c r="D338" s="179" t="s">
        <v>264</v>
      </c>
      <c r="E338" s="175">
        <v>7693</v>
      </c>
      <c r="F338" s="179" t="s">
        <v>122</v>
      </c>
      <c r="G338" s="278" t="s">
        <v>265</v>
      </c>
      <c r="H338" s="166"/>
      <c r="I338" s="167"/>
      <c r="J338" s="168">
        <f t="shared" si="65"/>
        <v>0</v>
      </c>
      <c r="K338" s="169">
        <f>97000-97000</f>
        <v>0</v>
      </c>
      <c r="L338" s="169"/>
      <c r="M338" s="169"/>
    </row>
    <row r="339" spans="1:13" s="102" customFormat="1" ht="41.25" hidden="1" customHeight="1" x14ac:dyDescent="0.3">
      <c r="A339" s="66" t="str">
        <f t="shared" si="64"/>
        <v/>
      </c>
      <c r="B339" s="67" t="s">
        <v>149</v>
      </c>
      <c r="C339" s="67"/>
      <c r="D339" s="188"/>
      <c r="E339" s="187"/>
      <c r="F339" s="188"/>
      <c r="G339" s="123" t="s">
        <v>175</v>
      </c>
      <c r="H339" s="189"/>
      <c r="I339" s="190"/>
      <c r="J339" s="191">
        <f t="shared" si="65"/>
        <v>0</v>
      </c>
      <c r="K339" s="192"/>
      <c r="L339" s="192">
        <f>4316635+863327-5179962</f>
        <v>0</v>
      </c>
      <c r="M339" s="192">
        <f>4316635+863327-5179962</f>
        <v>0</v>
      </c>
    </row>
    <row r="340" spans="1:13" s="102" customFormat="1" ht="39.75" customHeight="1" x14ac:dyDescent="0.3">
      <c r="A340" s="66" t="str">
        <f t="shared" si="64"/>
        <v>п</v>
      </c>
      <c r="B340" s="67" t="s">
        <v>149</v>
      </c>
      <c r="C340" s="67"/>
      <c r="D340" s="93" t="s">
        <v>165</v>
      </c>
      <c r="E340" s="120">
        <v>7461</v>
      </c>
      <c r="F340" s="93" t="s">
        <v>124</v>
      </c>
      <c r="G340" s="176" t="s">
        <v>166</v>
      </c>
      <c r="H340" s="95"/>
      <c r="I340" s="167"/>
      <c r="J340" s="168">
        <f t="shared" si="65"/>
        <v>17046643</v>
      </c>
      <c r="K340" s="169">
        <f>9605443+4255000-204000</f>
        <v>13656443</v>
      </c>
      <c r="L340" s="169">
        <f>21964110+3186200-21964110+204000</f>
        <v>3390200</v>
      </c>
      <c r="M340" s="169">
        <f>21964110+3186200-21964110+204000</f>
        <v>3390200</v>
      </c>
    </row>
    <row r="341" spans="1:13" s="102" customFormat="1" ht="39.75" hidden="1" customHeight="1" x14ac:dyDescent="0.3">
      <c r="A341" s="66" t="str">
        <f t="shared" ref="A341" si="69">IF(J341=0,"","п")</f>
        <v/>
      </c>
      <c r="B341" s="67" t="s">
        <v>149</v>
      </c>
      <c r="C341" s="67"/>
      <c r="D341" s="179"/>
      <c r="E341" s="175"/>
      <c r="F341" s="179"/>
      <c r="G341" s="123" t="s">
        <v>293</v>
      </c>
      <c r="H341" s="95"/>
      <c r="I341" s="167"/>
      <c r="J341" s="191">
        <f t="shared" si="65"/>
        <v>0</v>
      </c>
      <c r="K341" s="192"/>
      <c r="L341" s="192"/>
      <c r="M341" s="192"/>
    </row>
    <row r="342" spans="1:13" s="139" customFormat="1" ht="27" hidden="1" customHeight="1" x14ac:dyDescent="0.3">
      <c r="A342" s="117" t="str">
        <f t="shared" si="64"/>
        <v/>
      </c>
      <c r="B342" s="118" t="s">
        <v>149</v>
      </c>
      <c r="C342" s="118"/>
      <c r="D342" s="188"/>
      <c r="E342" s="187"/>
      <c r="F342" s="188"/>
      <c r="G342" s="342" t="s">
        <v>239</v>
      </c>
      <c r="H342" s="185"/>
      <c r="I342" s="190"/>
      <c r="J342" s="191">
        <f t="shared" si="65"/>
        <v>0</v>
      </c>
      <c r="K342" s="192"/>
      <c r="L342" s="192">
        <f>21964110-21964110</f>
        <v>0</v>
      </c>
      <c r="M342" s="192">
        <f>21964110-21964110</f>
        <v>0</v>
      </c>
    </row>
    <row r="343" spans="1:13" s="139" customFormat="1" ht="38.25" customHeight="1" x14ac:dyDescent="0.3">
      <c r="A343" s="117" t="str">
        <f t="shared" si="64"/>
        <v>п</v>
      </c>
      <c r="B343" s="118" t="s">
        <v>310</v>
      </c>
      <c r="C343" s="118"/>
      <c r="D343" s="129" t="s">
        <v>308</v>
      </c>
      <c r="E343" s="187"/>
      <c r="F343" s="188"/>
      <c r="G343" s="105" t="s">
        <v>366</v>
      </c>
      <c r="H343" s="185"/>
      <c r="I343" s="190"/>
      <c r="J343" s="90">
        <f t="shared" si="65"/>
        <v>359000</v>
      </c>
      <c r="K343" s="90">
        <f>+K344</f>
        <v>259000</v>
      </c>
      <c r="L343" s="90">
        <f>+L344</f>
        <v>100000</v>
      </c>
      <c r="M343" s="90">
        <f>+M344</f>
        <v>100000</v>
      </c>
    </row>
    <row r="344" spans="1:13" s="139" customFormat="1" ht="40.5" customHeight="1" x14ac:dyDescent="0.3">
      <c r="A344" s="117" t="str">
        <f t="shared" si="64"/>
        <v>п</v>
      </c>
      <c r="B344" s="118" t="s">
        <v>310</v>
      </c>
      <c r="C344" s="118"/>
      <c r="D344" s="129" t="s">
        <v>309</v>
      </c>
      <c r="E344" s="187"/>
      <c r="F344" s="188"/>
      <c r="G344" s="105" t="s">
        <v>366</v>
      </c>
      <c r="H344" s="185"/>
      <c r="I344" s="190"/>
      <c r="J344" s="90">
        <f>+K344+L344</f>
        <v>359000</v>
      </c>
      <c r="K344" s="90">
        <f>SUM(K345:K346)</f>
        <v>259000</v>
      </c>
      <c r="L344" s="90">
        <f t="shared" ref="L344" si="70">SUM(L345:L346)</f>
        <v>100000</v>
      </c>
      <c r="M344" s="90">
        <f>SUM(M345:M346)</f>
        <v>100000</v>
      </c>
    </row>
    <row r="345" spans="1:13" s="139" customFormat="1" ht="42.75" customHeight="1" x14ac:dyDescent="0.3">
      <c r="A345" s="117" t="str">
        <f t="shared" si="64"/>
        <v>п</v>
      </c>
      <c r="B345" s="118" t="s">
        <v>310</v>
      </c>
      <c r="C345" s="118"/>
      <c r="D345" s="116" t="s">
        <v>313</v>
      </c>
      <c r="E345" s="93" t="s">
        <v>75</v>
      </c>
      <c r="F345" s="93" t="s">
        <v>76</v>
      </c>
      <c r="G345" s="278" t="s">
        <v>314</v>
      </c>
      <c r="H345" s="185"/>
      <c r="I345" s="190"/>
      <c r="J345" s="98">
        <f>+K345+L345</f>
        <v>100000</v>
      </c>
      <c r="K345" s="169"/>
      <c r="L345" s="169">
        <v>100000</v>
      </c>
      <c r="M345" s="169">
        <v>100000</v>
      </c>
    </row>
    <row r="346" spans="1:13" s="139" customFormat="1" ht="39" customHeight="1" thickBot="1" x14ac:dyDescent="0.35">
      <c r="A346" s="117" t="str">
        <f t="shared" si="64"/>
        <v>п</v>
      </c>
      <c r="B346" s="118"/>
      <c r="C346" s="118"/>
      <c r="D346" s="260" t="s">
        <v>329</v>
      </c>
      <c r="E346" s="179">
        <v>6017</v>
      </c>
      <c r="F346" s="179" t="s">
        <v>120</v>
      </c>
      <c r="G346" s="278" t="s">
        <v>105</v>
      </c>
      <c r="H346" s="185"/>
      <c r="I346" s="190"/>
      <c r="J346" s="98">
        <f t="shared" si="65"/>
        <v>259000</v>
      </c>
      <c r="K346" s="169">
        <f>200000+100000-41000</f>
        <v>259000</v>
      </c>
      <c r="L346" s="169"/>
      <c r="M346" s="169"/>
    </row>
    <row r="347" spans="1:13" s="139" customFormat="1" ht="39" hidden="1" customHeight="1" x14ac:dyDescent="0.3">
      <c r="A347" s="117"/>
      <c r="B347" s="118"/>
      <c r="C347" s="118"/>
      <c r="D347" s="260"/>
      <c r="E347" s="179"/>
      <c r="F347" s="179"/>
      <c r="G347" s="278"/>
      <c r="H347" s="185"/>
      <c r="I347" s="190"/>
      <c r="J347" s="98"/>
      <c r="K347" s="169"/>
      <c r="L347" s="169"/>
      <c r="M347" s="169"/>
    </row>
    <row r="348" spans="1:13" s="103" customFormat="1" ht="26.25" hidden="1" customHeight="1" x14ac:dyDescent="0.3">
      <c r="A348" s="66" t="str">
        <f t="shared" si="64"/>
        <v/>
      </c>
      <c r="B348" s="67" t="s">
        <v>150</v>
      </c>
      <c r="C348" s="67"/>
      <c r="D348" s="104" t="s">
        <v>189</v>
      </c>
      <c r="E348" s="104"/>
      <c r="F348" s="104"/>
      <c r="G348" s="105" t="s">
        <v>365</v>
      </c>
      <c r="H348" s="172"/>
      <c r="I348" s="88"/>
      <c r="J348" s="90">
        <f t="shared" si="65"/>
        <v>0</v>
      </c>
      <c r="K348" s="90">
        <f>+K349</f>
        <v>0</v>
      </c>
      <c r="L348" s="90">
        <f>+L349</f>
        <v>0</v>
      </c>
      <c r="M348" s="90">
        <f>+M349</f>
        <v>0</v>
      </c>
    </row>
    <row r="349" spans="1:13" s="103" customFormat="1" ht="26.25" hidden="1" customHeight="1" x14ac:dyDescent="0.3">
      <c r="A349" s="66" t="str">
        <f t="shared" si="64"/>
        <v/>
      </c>
      <c r="B349" s="67" t="s">
        <v>150</v>
      </c>
      <c r="C349" s="67"/>
      <c r="D349" s="104" t="s">
        <v>190</v>
      </c>
      <c r="E349" s="104"/>
      <c r="F349" s="104"/>
      <c r="G349" s="105" t="s">
        <v>365</v>
      </c>
      <c r="H349" s="172"/>
      <c r="I349" s="88"/>
      <c r="J349" s="90">
        <f>+K349+L349</f>
        <v>0</v>
      </c>
      <c r="K349" s="90">
        <f>SUM(K350)</f>
        <v>0</v>
      </c>
      <c r="L349" s="90">
        <f>SUM(L350)</f>
        <v>0</v>
      </c>
      <c r="M349" s="90">
        <f>SUM(M350)</f>
        <v>0</v>
      </c>
    </row>
    <row r="350" spans="1:13" s="102" customFormat="1" ht="57.75" hidden="1" customHeight="1" x14ac:dyDescent="0.3">
      <c r="A350" s="66" t="str">
        <f t="shared" si="64"/>
        <v/>
      </c>
      <c r="B350" s="67" t="s">
        <v>150</v>
      </c>
      <c r="C350" s="67"/>
      <c r="D350" s="116" t="s">
        <v>191</v>
      </c>
      <c r="E350" s="93" t="s">
        <v>75</v>
      </c>
      <c r="F350" s="93" t="s">
        <v>76</v>
      </c>
      <c r="G350" s="278" t="s">
        <v>77</v>
      </c>
      <c r="H350" s="166"/>
      <c r="I350" s="167"/>
      <c r="J350" s="168">
        <f>+K350+L350</f>
        <v>0</v>
      </c>
      <c r="K350" s="169"/>
      <c r="L350" s="169"/>
      <c r="M350" s="169"/>
    </row>
    <row r="351" spans="1:13" s="139" customFormat="1" ht="20.25" hidden="1" customHeight="1" thickBot="1" x14ac:dyDescent="0.35">
      <c r="A351" s="66" t="str">
        <f t="shared" si="64"/>
        <v/>
      </c>
      <c r="B351" s="118" t="s">
        <v>150</v>
      </c>
      <c r="C351" s="348"/>
      <c r="D351" s="325"/>
      <c r="E351" s="121"/>
      <c r="F351" s="122"/>
      <c r="G351" s="123" t="s">
        <v>10</v>
      </c>
      <c r="H351" s="185"/>
      <c r="I351" s="125"/>
      <c r="J351" s="126">
        <f>+K351+L351</f>
        <v>0</v>
      </c>
      <c r="K351" s="127"/>
      <c r="L351" s="127"/>
      <c r="M351" s="127"/>
    </row>
    <row r="352" spans="1:13" s="203" customFormat="1" ht="30" customHeight="1" thickBot="1" x14ac:dyDescent="0.35">
      <c r="A352" s="66" t="str">
        <f t="shared" si="64"/>
        <v>п</v>
      </c>
      <c r="B352" s="67" t="s">
        <v>5</v>
      </c>
      <c r="C352" s="10"/>
      <c r="D352" s="440" t="s">
        <v>2</v>
      </c>
      <c r="E352" s="441"/>
      <c r="F352" s="441"/>
      <c r="G352" s="442"/>
      <c r="H352" s="194"/>
      <c r="I352" s="195"/>
      <c r="J352" s="196">
        <f>+K352+L352</f>
        <v>629501465</v>
      </c>
      <c r="K352" s="196">
        <f>+K8+K26+K35+K43+K47+K56+K76+K89+K97+K130+K154+K158+K162+K170+K184+K214+K219+K223+K230+K234+K238+K242+K248+K252+K256+K263+K39+K149+K166+K180</f>
        <v>256135807</v>
      </c>
      <c r="L352" s="196">
        <f>+L8+L26+L35+L43+L47+L56+L76+L89+L97+L130+L154+L158+L162+L170+L184+L214+L219+L223+L230+L234+L238+L242+L248+L252+L256+L263+L39+L149+L166+L180</f>
        <v>373365658</v>
      </c>
      <c r="M352" s="196">
        <f>+M8+M26+M35+M43+M47+M56+M76+M89+M97+M130+M154+M158+M162+M170+M184+M214+M219+M223+M230+M234+M238+M242+M248+M252+M256+M263+M39+M149+M166+M180</f>
        <v>371629641</v>
      </c>
    </row>
    <row r="353" spans="1:13" s="201" customFormat="1" ht="36.75" customHeight="1" x14ac:dyDescent="0.25">
      <c r="A353" s="66" t="s">
        <v>5</v>
      </c>
      <c r="B353" s="67"/>
      <c r="C353" s="1"/>
      <c r="D353" s="328"/>
      <c r="E353" s="197"/>
      <c r="F353" s="197"/>
      <c r="G353" s="371"/>
      <c r="H353" s="199"/>
      <c r="I353" s="200"/>
      <c r="J353" s="199"/>
      <c r="M353" s="202"/>
    </row>
    <row r="354" spans="1:13" s="2" customFormat="1" ht="55.5" hidden="1" customHeight="1" x14ac:dyDescent="0.25">
      <c r="B354" s="1"/>
      <c r="C354" s="1"/>
      <c r="D354" s="328"/>
      <c r="E354" s="197"/>
      <c r="F354" s="197"/>
      <c r="G354" s="198"/>
      <c r="H354" s="199"/>
      <c r="I354" s="59"/>
      <c r="J354" s="35"/>
      <c r="M354" s="3"/>
    </row>
    <row r="355" spans="1:13" s="256" customFormat="1" ht="42.75" hidden="1" customHeight="1" x14ac:dyDescent="0.35">
      <c r="B355" s="347"/>
      <c r="C355" s="1"/>
      <c r="D355" s="328"/>
      <c r="E355" s="413" t="s">
        <v>355</v>
      </c>
      <c r="F355" s="414"/>
      <c r="G355" s="415"/>
      <c r="H355" s="413"/>
      <c r="I355" s="416"/>
      <c r="J355" s="415"/>
      <c r="K355" s="416"/>
      <c r="L355" s="414" t="s">
        <v>356</v>
      </c>
      <c r="M355" s="255"/>
    </row>
    <row r="356" spans="1:13" s="19" customFormat="1" ht="41.25" customHeight="1" x14ac:dyDescent="0.3">
      <c r="A356" s="66" t="s">
        <v>5</v>
      </c>
      <c r="B356" s="10"/>
      <c r="C356" s="10"/>
      <c r="D356" s="329"/>
      <c r="E356" s="465" t="s">
        <v>297</v>
      </c>
      <c r="F356" s="465"/>
      <c r="G356" s="465"/>
      <c r="H356" s="412"/>
      <c r="I356" s="412"/>
      <c r="J356" s="464" t="s">
        <v>298</v>
      </c>
      <c r="K356" s="464"/>
      <c r="L356" s="411"/>
      <c r="M356" s="411"/>
    </row>
    <row r="357" spans="1:13" s="19" customFormat="1" ht="36.75" hidden="1" customHeight="1" x14ac:dyDescent="0.3">
      <c r="A357" s="19" t="str">
        <f t="shared" ref="A357" si="71">IF(J357=0,"","п")</f>
        <v/>
      </c>
      <c r="B357" s="10"/>
      <c r="C357" s="10"/>
      <c r="D357" s="329"/>
      <c r="E357" s="102" t="s">
        <v>226</v>
      </c>
      <c r="F357" s="102"/>
      <c r="G357" s="304"/>
      <c r="H357" s="305"/>
      <c r="I357" s="306"/>
      <c r="J357" s="305"/>
      <c r="K357" s="305"/>
      <c r="L357" s="303" t="s">
        <v>227</v>
      </c>
      <c r="M357" s="305"/>
    </row>
    <row r="358" spans="1:13" s="19" customFormat="1" ht="45" hidden="1" customHeight="1" x14ac:dyDescent="0.3">
      <c r="B358" s="10"/>
      <c r="C358" s="10"/>
      <c r="D358" s="329"/>
      <c r="E358" s="315"/>
      <c r="F358" s="103"/>
      <c r="G358" s="313"/>
      <c r="H358" s="270"/>
      <c r="I358" s="57"/>
      <c r="J358" s="36"/>
      <c r="L358" s="34"/>
      <c r="M358" s="34"/>
    </row>
    <row r="359" spans="1:13" s="201" customFormat="1" ht="27.75" customHeight="1" x14ac:dyDescent="0.25">
      <c r="A359" s="193"/>
      <c r="B359" s="67"/>
      <c r="C359" s="6"/>
      <c r="D359" s="330"/>
      <c r="G359" s="208"/>
      <c r="H359" s="209"/>
      <c r="I359" s="200"/>
      <c r="J359" s="209"/>
      <c r="K359" s="210"/>
      <c r="L359" s="210"/>
      <c r="M359" s="210"/>
    </row>
    <row r="360" spans="1:13" s="211" customFormat="1" ht="15.75" hidden="1" x14ac:dyDescent="0.25">
      <c r="A360" s="204"/>
      <c r="B360" s="204"/>
      <c r="C360" s="23"/>
      <c r="D360" s="331"/>
      <c r="G360" s="212" t="s">
        <v>9</v>
      </c>
      <c r="H360" s="213"/>
      <c r="I360" s="214"/>
      <c r="J360" s="215">
        <v>118274701</v>
      </c>
      <c r="K360" s="216">
        <v>81528252</v>
      </c>
      <c r="L360" s="216">
        <v>36746449</v>
      </c>
      <c r="M360" s="216">
        <v>36626449</v>
      </c>
    </row>
    <row r="361" spans="1:13" s="201" customFormat="1" ht="15.75" hidden="1" x14ac:dyDescent="0.25">
      <c r="A361" s="193"/>
      <c r="B361" s="193"/>
      <c r="C361" s="7"/>
      <c r="D361" s="330"/>
      <c r="G361" s="208"/>
      <c r="H361" s="209"/>
      <c r="I361" s="200"/>
      <c r="J361" s="209"/>
      <c r="K361" s="210"/>
      <c r="L361" s="202"/>
      <c r="M361" s="210"/>
    </row>
    <row r="362" spans="1:13" s="217" customFormat="1" ht="15.75" hidden="1" x14ac:dyDescent="0.25">
      <c r="A362" s="205"/>
      <c r="B362" s="205"/>
      <c r="C362" s="22"/>
      <c r="D362" s="332"/>
      <c r="G362" s="218" t="s">
        <v>4</v>
      </c>
      <c r="H362" s="219"/>
      <c r="I362" s="220"/>
      <c r="J362" s="221">
        <f>+J352-J360</f>
        <v>511226764</v>
      </c>
      <c r="K362" s="221">
        <f>+K352-K360</f>
        <v>174607555</v>
      </c>
      <c r="L362" s="221">
        <f>+L352-L360</f>
        <v>336619209</v>
      </c>
      <c r="M362" s="221">
        <f>+M352-M360</f>
        <v>335003192</v>
      </c>
    </row>
    <row r="363" spans="1:13" s="201" customFormat="1" ht="15.75" hidden="1" x14ac:dyDescent="0.25">
      <c r="A363" s="206"/>
      <c r="B363" s="206"/>
      <c r="C363" s="8"/>
      <c r="D363" s="330"/>
      <c r="G363" s="198"/>
      <c r="H363" s="209"/>
      <c r="I363" s="200"/>
      <c r="J363" s="202"/>
      <c r="K363" s="202"/>
      <c r="L363" s="202"/>
    </row>
    <row r="364" spans="1:13" s="222" customFormat="1" ht="15.75" hidden="1" x14ac:dyDescent="0.25">
      <c r="A364" s="207"/>
      <c r="B364" s="207"/>
      <c r="C364" s="8"/>
      <c r="D364" s="333"/>
      <c r="G364" s="223"/>
      <c r="H364" s="224" t="s">
        <v>145</v>
      </c>
      <c r="I364" s="225"/>
      <c r="J364" s="226">
        <f>J362-J365</f>
        <v>508302306</v>
      </c>
      <c r="K364" s="226">
        <f>K362-K365</f>
        <v>174382097</v>
      </c>
      <c r="L364" s="226">
        <f>L362-L365</f>
        <v>333920209</v>
      </c>
      <c r="M364" s="226">
        <f>M362-M365</f>
        <v>332304192</v>
      </c>
    </row>
    <row r="365" spans="1:13" s="201" customFormat="1" ht="15.75" hidden="1" x14ac:dyDescent="0.25">
      <c r="A365" s="206"/>
      <c r="B365" s="206"/>
      <c r="C365" s="8"/>
      <c r="D365" s="330"/>
      <c r="G365" s="198"/>
      <c r="H365" s="227" t="s">
        <v>11</v>
      </c>
      <c r="I365" s="228"/>
      <c r="J365" s="229">
        <f>K365+L365</f>
        <v>2924458</v>
      </c>
      <c r="K365" s="230">
        <f>SUM(K366:K398)</f>
        <v>225458</v>
      </c>
      <c r="L365" s="230">
        <f>SUM(L366:L398)</f>
        <v>2699000</v>
      </c>
      <c r="M365" s="230">
        <f>SUM(M366:M398)</f>
        <v>2699000</v>
      </c>
    </row>
    <row r="366" spans="1:13" s="201" customFormat="1" ht="15.75" hidden="1" x14ac:dyDescent="0.25">
      <c r="A366" s="206"/>
      <c r="B366" s="206"/>
      <c r="C366" s="8"/>
      <c r="D366" s="330"/>
      <c r="G366" s="198"/>
      <c r="H366" s="209"/>
      <c r="I366" s="231"/>
      <c r="J366" s="229">
        <f t="shared" ref="J366:J397" si="72">K366+L366</f>
        <v>1470124</v>
      </c>
      <c r="K366" s="232">
        <v>20124</v>
      </c>
      <c r="L366" s="232">
        <v>1450000</v>
      </c>
      <c r="M366" s="232">
        <v>1450000</v>
      </c>
    </row>
    <row r="367" spans="1:13" s="201" customFormat="1" ht="15.75" hidden="1" x14ac:dyDescent="0.25">
      <c r="A367" s="206"/>
      <c r="B367" s="206"/>
      <c r="C367" s="8"/>
      <c r="D367" s="330"/>
      <c r="G367" s="198"/>
      <c r="H367" s="209"/>
      <c r="I367" s="233"/>
      <c r="J367" s="229">
        <f t="shared" si="72"/>
        <v>194334</v>
      </c>
      <c r="K367" s="232">
        <v>145334</v>
      </c>
      <c r="L367" s="232">
        <v>49000</v>
      </c>
      <c r="M367" s="232">
        <v>49000</v>
      </c>
    </row>
    <row r="368" spans="1:13" s="201" customFormat="1" ht="15.75" hidden="1" x14ac:dyDescent="0.25">
      <c r="A368" s="206"/>
      <c r="B368" s="206"/>
      <c r="C368" s="8"/>
      <c r="D368" s="330"/>
      <c r="G368" s="234"/>
      <c r="H368" s="235">
        <v>168264331.63</v>
      </c>
      <c r="I368" s="233"/>
      <c r="J368" s="229">
        <f t="shared" si="72"/>
        <v>60000</v>
      </c>
      <c r="K368" s="232">
        <v>60000</v>
      </c>
      <c r="L368" s="232"/>
      <c r="M368" s="232"/>
    </row>
    <row r="369" spans="1:13" s="201" customFormat="1" ht="15.75" hidden="1" x14ac:dyDescent="0.25">
      <c r="A369" s="206"/>
      <c r="B369" s="206"/>
      <c r="C369" s="8"/>
      <c r="D369" s="330"/>
      <c r="G369" s="234"/>
      <c r="H369" s="235"/>
      <c r="I369" s="233"/>
      <c r="J369" s="229">
        <f t="shared" si="72"/>
        <v>1200000</v>
      </c>
      <c r="K369" s="232"/>
      <c r="L369" s="232">
        <v>1200000</v>
      </c>
      <c r="M369" s="232">
        <v>1200000</v>
      </c>
    </row>
    <row r="370" spans="1:13" s="201" customFormat="1" ht="15.75" hidden="1" x14ac:dyDescent="0.25">
      <c r="A370" s="206"/>
      <c r="B370" s="206"/>
      <c r="C370" s="8"/>
      <c r="D370" s="330"/>
      <c r="G370" s="458" t="s">
        <v>223</v>
      </c>
      <c r="H370" s="467">
        <f>+L352-L219-M352</f>
        <v>1352017</v>
      </c>
      <c r="I370" s="233"/>
      <c r="J370" s="236">
        <f t="shared" si="72"/>
        <v>0</v>
      </c>
      <c r="K370" s="232"/>
      <c r="L370" s="232"/>
      <c r="M370" s="232"/>
    </row>
    <row r="371" spans="1:13" s="201" customFormat="1" ht="15.75" hidden="1" x14ac:dyDescent="0.25">
      <c r="A371" s="206"/>
      <c r="B371" s="206"/>
      <c r="C371" s="8"/>
      <c r="D371" s="330"/>
      <c r="G371" s="470"/>
      <c r="H371" s="468"/>
      <c r="I371" s="237"/>
      <c r="J371" s="229">
        <f t="shared" si="72"/>
        <v>0</v>
      </c>
      <c r="K371" s="238"/>
      <c r="L371" s="239"/>
      <c r="M371" s="239"/>
    </row>
    <row r="372" spans="1:13" s="201" customFormat="1" ht="15.75" hidden="1" x14ac:dyDescent="0.25">
      <c r="A372" s="206"/>
      <c r="B372" s="206"/>
      <c r="C372" s="8"/>
      <c r="D372" s="330"/>
      <c r="G372" s="471"/>
      <c r="H372" s="469"/>
      <c r="I372" s="237"/>
      <c r="J372" s="229">
        <f t="shared" si="72"/>
        <v>0</v>
      </c>
      <c r="K372" s="238"/>
      <c r="L372" s="239"/>
      <c r="M372" s="239"/>
    </row>
    <row r="373" spans="1:13" s="201" customFormat="1" ht="15.75" hidden="1" x14ac:dyDescent="0.25">
      <c r="A373" s="193"/>
      <c r="B373" s="193"/>
      <c r="C373" s="6"/>
      <c r="D373" s="330"/>
      <c r="G373" s="234"/>
      <c r="H373" s="235"/>
      <c r="I373" s="466"/>
      <c r="J373" s="229">
        <f t="shared" si="72"/>
        <v>0</v>
      </c>
      <c r="K373" s="238"/>
      <c r="L373" s="239"/>
      <c r="M373" s="239"/>
    </row>
    <row r="374" spans="1:13" s="201" customFormat="1" ht="15.75" hidden="1" x14ac:dyDescent="0.25">
      <c r="A374" s="193"/>
      <c r="B374" s="193"/>
      <c r="C374" s="6"/>
      <c r="D374" s="330"/>
      <c r="G374" s="198"/>
      <c r="I374" s="466"/>
      <c r="J374" s="229">
        <f t="shared" si="72"/>
        <v>0</v>
      </c>
      <c r="K374" s="238"/>
      <c r="L374" s="238"/>
      <c r="M374" s="238"/>
    </row>
    <row r="375" spans="1:13" ht="15.75" hidden="1" x14ac:dyDescent="0.25">
      <c r="B375" s="63"/>
      <c r="G375" s="240"/>
      <c r="I375" s="466"/>
      <c r="J375" s="229">
        <f t="shared" si="72"/>
        <v>0</v>
      </c>
      <c r="K375" s="238"/>
      <c r="L375" s="239"/>
      <c r="M375" s="239"/>
    </row>
    <row r="376" spans="1:13" ht="15.75" hidden="1" x14ac:dyDescent="0.25">
      <c r="B376" s="63"/>
      <c r="G376" s="240"/>
      <c r="H376" s="241"/>
      <c r="I376" s="466"/>
      <c r="J376" s="229">
        <f t="shared" si="72"/>
        <v>0</v>
      </c>
      <c r="K376" s="238"/>
      <c r="L376" s="239"/>
      <c r="M376" s="239"/>
    </row>
    <row r="377" spans="1:13" ht="15.75" hidden="1" x14ac:dyDescent="0.25">
      <c r="B377" s="63"/>
      <c r="G377" s="240"/>
      <c r="H377" s="241"/>
      <c r="I377" s="466"/>
      <c r="J377" s="229">
        <f t="shared" si="72"/>
        <v>0</v>
      </c>
      <c r="K377" s="238"/>
      <c r="L377" s="239"/>
      <c r="M377" s="239"/>
    </row>
    <row r="378" spans="1:13" ht="15.75" hidden="1" x14ac:dyDescent="0.25">
      <c r="B378" s="63"/>
      <c r="G378" s="240"/>
      <c r="H378" s="241"/>
      <c r="I378" s="242"/>
      <c r="J378" s="229">
        <f t="shared" si="72"/>
        <v>0</v>
      </c>
      <c r="K378" s="238"/>
      <c r="L378" s="239"/>
      <c r="M378" s="239"/>
    </row>
    <row r="379" spans="1:13" ht="15.75" hidden="1" x14ac:dyDescent="0.25">
      <c r="B379" s="63"/>
      <c r="G379" s="240"/>
      <c r="H379" s="243"/>
      <c r="I379" s="237"/>
      <c r="J379" s="229">
        <f t="shared" si="72"/>
        <v>0</v>
      </c>
      <c r="K379" s="238"/>
      <c r="L379" s="239"/>
      <c r="M379" s="239"/>
    </row>
    <row r="380" spans="1:13" ht="15.75" hidden="1" x14ac:dyDescent="0.25">
      <c r="B380" s="63"/>
      <c r="G380" s="240"/>
      <c r="H380" s="241"/>
      <c r="I380" s="242"/>
      <c r="J380" s="229">
        <f t="shared" si="72"/>
        <v>0</v>
      </c>
      <c r="K380" s="238"/>
      <c r="L380" s="239"/>
      <c r="M380" s="239"/>
    </row>
    <row r="381" spans="1:13" ht="15.75" hidden="1" x14ac:dyDescent="0.25">
      <c r="B381" s="63"/>
      <c r="G381" s="240"/>
      <c r="H381" s="241"/>
      <c r="I381" s="242"/>
      <c r="J381" s="229">
        <f t="shared" si="72"/>
        <v>0</v>
      </c>
      <c r="K381" s="238"/>
      <c r="L381" s="239"/>
      <c r="M381" s="239"/>
    </row>
    <row r="382" spans="1:13" ht="15.75" hidden="1" x14ac:dyDescent="0.25">
      <c r="B382" s="63"/>
      <c r="G382" s="240"/>
      <c r="H382" s="241"/>
      <c r="I382" s="242"/>
      <c r="J382" s="229">
        <f t="shared" si="72"/>
        <v>0</v>
      </c>
      <c r="K382" s="238"/>
      <c r="L382" s="239"/>
      <c r="M382" s="239"/>
    </row>
    <row r="383" spans="1:13" ht="15.75" hidden="1" x14ac:dyDescent="0.25">
      <c r="B383" s="63"/>
      <c r="G383" s="240"/>
      <c r="H383" s="241"/>
      <c r="I383" s="244"/>
      <c r="J383" s="245">
        <f t="shared" si="72"/>
        <v>0</v>
      </c>
      <c r="K383" s="246"/>
      <c r="L383" s="238"/>
      <c r="M383" s="238"/>
    </row>
    <row r="384" spans="1:13" ht="15.75" hidden="1" x14ac:dyDescent="0.25">
      <c r="B384" s="63"/>
      <c r="G384" s="240"/>
      <c r="H384" s="247"/>
      <c r="I384" s="244"/>
      <c r="J384" s="229">
        <f t="shared" si="72"/>
        <v>0</v>
      </c>
      <c r="K384" s="238"/>
      <c r="L384" s="238"/>
      <c r="M384" s="238"/>
    </row>
    <row r="385" spans="2:13" ht="15.75" hidden="1" x14ac:dyDescent="0.25">
      <c r="B385" s="63"/>
      <c r="G385" s="240"/>
      <c r="H385" s="247"/>
      <c r="I385" s="244"/>
      <c r="J385" s="229">
        <f t="shared" si="72"/>
        <v>0</v>
      </c>
      <c r="K385" s="238"/>
      <c r="L385" s="238"/>
      <c r="M385" s="238"/>
    </row>
    <row r="386" spans="2:13" ht="15.75" hidden="1" x14ac:dyDescent="0.25">
      <c r="B386" s="63"/>
      <c r="G386" s="240"/>
      <c r="H386" s="247"/>
      <c r="I386" s="244"/>
      <c r="J386" s="229">
        <f t="shared" si="72"/>
        <v>0</v>
      </c>
      <c r="K386" s="238"/>
      <c r="L386" s="238"/>
      <c r="M386" s="238"/>
    </row>
    <row r="387" spans="2:13" ht="15.75" hidden="1" x14ac:dyDescent="0.25">
      <c r="B387" s="63"/>
      <c r="G387" s="240"/>
      <c r="H387" s="247"/>
      <c r="I387" s="244"/>
      <c r="J387" s="229">
        <f t="shared" si="72"/>
        <v>0</v>
      </c>
      <c r="K387" s="238"/>
      <c r="L387" s="238"/>
      <c r="M387" s="238"/>
    </row>
    <row r="388" spans="2:13" ht="15.75" hidden="1" x14ac:dyDescent="0.25">
      <c r="B388" s="63"/>
      <c r="G388" s="240"/>
      <c r="H388" s="247"/>
      <c r="I388" s="244"/>
      <c r="J388" s="229">
        <f t="shared" si="72"/>
        <v>0</v>
      </c>
      <c r="K388" s="238"/>
      <c r="L388" s="238"/>
      <c r="M388" s="238"/>
    </row>
    <row r="389" spans="2:13" ht="15.75" hidden="1" x14ac:dyDescent="0.25">
      <c r="B389" s="63"/>
      <c r="G389" s="240"/>
      <c r="H389" s="247"/>
      <c r="I389" s="242"/>
      <c r="J389" s="229">
        <f t="shared" si="72"/>
        <v>0</v>
      </c>
      <c r="K389" s="239"/>
      <c r="L389" s="238"/>
      <c r="M389" s="238"/>
    </row>
    <row r="390" spans="2:13" ht="15.75" hidden="1" x14ac:dyDescent="0.25">
      <c r="B390" s="63"/>
      <c r="G390" s="240"/>
      <c r="H390" s="247"/>
      <c r="I390" s="439"/>
      <c r="J390" s="229">
        <f t="shared" si="72"/>
        <v>0</v>
      </c>
      <c r="K390" s="239"/>
      <c r="L390" s="238"/>
      <c r="M390" s="238"/>
    </row>
    <row r="391" spans="2:13" ht="15.75" hidden="1" x14ac:dyDescent="0.25">
      <c r="B391" s="63"/>
      <c r="G391" s="240"/>
      <c r="H391" s="247"/>
      <c r="I391" s="439"/>
      <c r="J391" s="229">
        <f t="shared" si="72"/>
        <v>0</v>
      </c>
      <c r="K391" s="239"/>
      <c r="L391" s="238"/>
      <c r="M391" s="238"/>
    </row>
    <row r="392" spans="2:13" ht="15.75" hidden="1" x14ac:dyDescent="0.25">
      <c r="B392" s="63"/>
      <c r="G392" s="240"/>
      <c r="H392" s="248"/>
      <c r="I392" s="249"/>
      <c r="J392" s="229">
        <f t="shared" si="72"/>
        <v>0</v>
      </c>
      <c r="K392" s="239"/>
      <c r="L392" s="238"/>
      <c r="M392" s="238"/>
    </row>
    <row r="393" spans="2:13" ht="15.75" hidden="1" x14ac:dyDescent="0.25">
      <c r="B393" s="63"/>
      <c r="G393" s="240"/>
      <c r="H393" s="250"/>
      <c r="I393" s="249"/>
      <c r="J393" s="229">
        <f t="shared" si="72"/>
        <v>0</v>
      </c>
      <c r="K393" s="239"/>
      <c r="L393" s="238"/>
      <c r="M393" s="238"/>
    </row>
    <row r="394" spans="2:13" ht="15.75" hidden="1" x14ac:dyDescent="0.25">
      <c r="B394" s="63"/>
      <c r="G394" s="240"/>
      <c r="H394" s="251"/>
      <c r="I394" s="249"/>
      <c r="J394" s="229">
        <f t="shared" si="72"/>
        <v>0</v>
      </c>
      <c r="K394" s="238"/>
      <c r="L394" s="238"/>
      <c r="M394" s="238"/>
    </row>
    <row r="395" spans="2:13" ht="15.75" hidden="1" x14ac:dyDescent="0.25">
      <c r="B395" s="63"/>
      <c r="G395" s="240"/>
      <c r="H395" s="252"/>
      <c r="I395" s="249"/>
      <c r="J395" s="229">
        <f t="shared" si="72"/>
        <v>0</v>
      </c>
      <c r="K395" s="238"/>
      <c r="L395" s="238"/>
      <c r="M395" s="238"/>
    </row>
    <row r="396" spans="2:13" ht="15.75" hidden="1" x14ac:dyDescent="0.25">
      <c r="B396" s="63"/>
      <c r="G396" s="240"/>
      <c r="H396" s="252"/>
      <c r="I396" s="249"/>
      <c r="J396" s="229">
        <f t="shared" si="72"/>
        <v>0</v>
      </c>
      <c r="K396" s="238"/>
      <c r="L396" s="238"/>
      <c r="M396" s="238"/>
    </row>
    <row r="397" spans="2:13" ht="15.75" hidden="1" x14ac:dyDescent="0.25">
      <c r="B397" s="63"/>
      <c r="G397" s="240"/>
      <c r="H397" s="252"/>
      <c r="I397" s="249"/>
      <c r="J397" s="236">
        <f t="shared" si="72"/>
        <v>0</v>
      </c>
      <c r="K397" s="253"/>
      <c r="L397" s="253"/>
      <c r="M397" s="253"/>
    </row>
    <row r="398" spans="2:13" ht="15.75" hidden="1" x14ac:dyDescent="0.25">
      <c r="B398" s="63"/>
      <c r="G398" s="240"/>
      <c r="H398" s="252"/>
      <c r="I398" s="249"/>
      <c r="J398" s="229">
        <f>K398+L398</f>
        <v>0</v>
      </c>
      <c r="K398" s="238"/>
      <c r="L398" s="238"/>
      <c r="M398" s="238"/>
    </row>
    <row r="399" spans="2:13" ht="15" hidden="1" x14ac:dyDescent="0.2">
      <c r="B399" s="63"/>
      <c r="G399" s="240"/>
      <c r="H399" s="252"/>
      <c r="I399" s="249"/>
      <c r="J399" s="254"/>
    </row>
    <row r="400" spans="2:13" ht="12" hidden="1" x14ac:dyDescent="0.2">
      <c r="B400" s="63"/>
      <c r="G400" s="240"/>
      <c r="I400" s="242"/>
      <c r="J400" s="254"/>
    </row>
    <row r="401" spans="1:13" s="433" customFormat="1" ht="30.75" customHeight="1" x14ac:dyDescent="0.35">
      <c r="A401" s="430"/>
      <c r="B401" s="430"/>
      <c r="C401" s="431"/>
      <c r="D401" s="432"/>
      <c r="E401" s="433" t="s">
        <v>400</v>
      </c>
      <c r="G401" s="434"/>
      <c r="H401" s="435"/>
      <c r="I401" s="436"/>
      <c r="J401" s="455" t="s">
        <v>401</v>
      </c>
      <c r="K401" s="455"/>
    </row>
    <row r="402" spans="1:13" x14ac:dyDescent="0.2">
      <c r="I402" s="409"/>
      <c r="J402" s="254"/>
    </row>
    <row r="403" spans="1:13" x14ac:dyDescent="0.2">
      <c r="I403" s="409"/>
      <c r="J403" s="396"/>
      <c r="K403" s="396"/>
      <c r="L403" s="396"/>
      <c r="M403" s="396"/>
    </row>
    <row r="404" spans="1:13" x14ac:dyDescent="0.2">
      <c r="G404" s="373" t="s">
        <v>9</v>
      </c>
      <c r="H404" s="377"/>
      <c r="I404" s="395"/>
      <c r="J404" s="396">
        <v>629401465</v>
      </c>
      <c r="K404" s="396">
        <v>256134860</v>
      </c>
      <c r="L404" s="396">
        <v>373266605</v>
      </c>
      <c r="M404" s="396">
        <v>371530588</v>
      </c>
    </row>
    <row r="405" spans="1:13" x14ac:dyDescent="0.3">
      <c r="G405" s="208"/>
      <c r="H405" s="279"/>
      <c r="I405" s="59"/>
      <c r="J405" s="299"/>
      <c r="K405" s="300"/>
      <c r="L405" s="301"/>
      <c r="M405" s="300"/>
    </row>
    <row r="406" spans="1:13" x14ac:dyDescent="0.2">
      <c r="G406" s="218" t="s">
        <v>4</v>
      </c>
      <c r="H406" s="377"/>
      <c r="I406" s="395"/>
      <c r="J406" s="300">
        <f>J404-J352</f>
        <v>-100000</v>
      </c>
      <c r="K406" s="300">
        <f>K404-K352</f>
        <v>-947</v>
      </c>
      <c r="L406" s="300">
        <f>L404-L352</f>
        <v>-99053</v>
      </c>
      <c r="M406" s="300">
        <f>M404-M352</f>
        <v>-99053</v>
      </c>
    </row>
    <row r="407" spans="1:13" ht="19.5" thickBot="1" x14ac:dyDescent="0.35">
      <c r="G407" s="371"/>
      <c r="H407" s="279"/>
      <c r="I407" s="59"/>
      <c r="J407" s="301"/>
      <c r="K407" s="428" t="s">
        <v>378</v>
      </c>
      <c r="L407" s="428" t="s">
        <v>377</v>
      </c>
      <c r="M407" s="429" t="s">
        <v>376</v>
      </c>
    </row>
    <row r="408" spans="1:13" ht="21.75" customHeight="1" x14ac:dyDescent="0.2">
      <c r="G408" s="374"/>
      <c r="H408" s="419" t="s">
        <v>354</v>
      </c>
      <c r="I408" s="420"/>
      <c r="J408" s="421">
        <f>J406+J409</f>
        <v>0</v>
      </c>
      <c r="K408" s="421">
        <f>K406+K409</f>
        <v>0</v>
      </c>
      <c r="L408" s="421">
        <f t="shared" ref="L408" si="73">L406+L409</f>
        <v>0</v>
      </c>
      <c r="M408" s="422">
        <f>M406+M409</f>
        <v>0</v>
      </c>
    </row>
    <row r="409" spans="1:13" ht="19.5" thickBot="1" x14ac:dyDescent="0.25">
      <c r="G409" s="371"/>
      <c r="H409" s="423" t="s">
        <v>11</v>
      </c>
      <c r="I409" s="424"/>
      <c r="J409" s="425">
        <f>K409+L409</f>
        <v>100000</v>
      </c>
      <c r="K409" s="425">
        <f>SUM(K410:K449)</f>
        <v>947</v>
      </c>
      <c r="L409" s="425">
        <f>SUM(L410:L449)</f>
        <v>99053</v>
      </c>
      <c r="M409" s="426">
        <f t="shared" ref="M409" si="74">SUM(M410:M449)</f>
        <v>99053</v>
      </c>
    </row>
    <row r="410" spans="1:13" x14ac:dyDescent="0.2">
      <c r="G410" s="371"/>
      <c r="H410" s="279"/>
      <c r="I410" s="282"/>
      <c r="J410" s="417">
        <f t="shared" ref="J410:J449" si="75">K410+L410</f>
        <v>0</v>
      </c>
      <c r="K410" s="418">
        <v>947</v>
      </c>
      <c r="L410" s="418">
        <v>-947</v>
      </c>
      <c r="M410" s="418">
        <v>-947</v>
      </c>
    </row>
    <row r="411" spans="1:13" x14ac:dyDescent="0.2">
      <c r="G411" s="371"/>
      <c r="H411" s="279"/>
      <c r="I411" s="282"/>
      <c r="J411" s="280">
        <f t="shared" si="75"/>
        <v>100000</v>
      </c>
      <c r="K411" s="281"/>
      <c r="L411" s="281">
        <v>100000</v>
      </c>
      <c r="M411" s="281">
        <v>100000</v>
      </c>
    </row>
    <row r="412" spans="1:13" x14ac:dyDescent="0.2">
      <c r="G412" s="368"/>
      <c r="H412" s="283"/>
      <c r="I412" s="282"/>
      <c r="J412" s="280">
        <f t="shared" si="75"/>
        <v>0</v>
      </c>
      <c r="K412" s="281"/>
      <c r="L412" s="281"/>
      <c r="M412" s="281"/>
    </row>
    <row r="413" spans="1:13" x14ac:dyDescent="0.2">
      <c r="G413" s="368"/>
      <c r="H413" s="283"/>
      <c r="I413" s="282"/>
      <c r="J413" s="280">
        <f t="shared" si="75"/>
        <v>0</v>
      </c>
      <c r="K413" s="281"/>
      <c r="L413" s="281"/>
      <c r="M413" s="281"/>
    </row>
    <row r="414" spans="1:13" x14ac:dyDescent="0.2">
      <c r="G414" s="458" t="s">
        <v>223</v>
      </c>
      <c r="H414" s="461">
        <f>+L394-L268-M394</f>
        <v>0</v>
      </c>
      <c r="I414" s="282"/>
      <c r="J414" s="280">
        <f t="shared" si="75"/>
        <v>0</v>
      </c>
      <c r="K414" s="281"/>
      <c r="L414" s="281"/>
      <c r="M414" s="281"/>
    </row>
    <row r="415" spans="1:13" x14ac:dyDescent="0.2">
      <c r="G415" s="459"/>
      <c r="H415" s="462"/>
      <c r="I415" s="285"/>
      <c r="J415" s="280">
        <f t="shared" si="75"/>
        <v>0</v>
      </c>
      <c r="K415" s="281"/>
      <c r="L415" s="281"/>
      <c r="M415" s="281"/>
    </row>
    <row r="416" spans="1:13" x14ac:dyDescent="0.25">
      <c r="G416" s="460"/>
      <c r="H416" s="463"/>
      <c r="I416" s="285"/>
      <c r="J416" s="280">
        <f t="shared" si="75"/>
        <v>0</v>
      </c>
      <c r="K416" s="286"/>
      <c r="L416" s="287"/>
      <c r="M416" s="287"/>
    </row>
    <row r="417" spans="7:13" x14ac:dyDescent="0.25">
      <c r="G417" s="368"/>
      <c r="H417" s="283"/>
      <c r="I417" s="437"/>
      <c r="J417" s="280">
        <f t="shared" si="75"/>
        <v>0</v>
      </c>
      <c r="K417" s="286"/>
      <c r="L417" s="287"/>
      <c r="M417" s="287"/>
    </row>
    <row r="418" spans="7:13" x14ac:dyDescent="0.25">
      <c r="G418" s="371"/>
      <c r="H418" s="2"/>
      <c r="I418" s="437"/>
      <c r="J418" s="280">
        <f t="shared" si="75"/>
        <v>0</v>
      </c>
      <c r="K418" s="286"/>
      <c r="L418" s="287"/>
      <c r="M418" s="287"/>
    </row>
    <row r="419" spans="7:13" x14ac:dyDescent="0.25">
      <c r="G419" s="371"/>
      <c r="H419" s="2"/>
      <c r="I419" s="437"/>
      <c r="J419" s="280">
        <f t="shared" si="75"/>
        <v>0</v>
      </c>
      <c r="K419" s="286"/>
      <c r="L419" s="287"/>
      <c r="M419" s="287"/>
    </row>
    <row r="420" spans="7:13" x14ac:dyDescent="0.25">
      <c r="H420" s="288"/>
      <c r="I420" s="437"/>
      <c r="J420" s="280">
        <f t="shared" si="75"/>
        <v>0</v>
      </c>
      <c r="K420" s="286"/>
      <c r="L420" s="286"/>
      <c r="M420" s="286"/>
    </row>
    <row r="421" spans="7:13" x14ac:dyDescent="0.25">
      <c r="H421" s="289"/>
      <c r="I421" s="437"/>
      <c r="J421" s="280">
        <f t="shared" si="75"/>
        <v>0</v>
      </c>
      <c r="K421" s="286"/>
      <c r="L421" s="287"/>
      <c r="M421" s="287"/>
    </row>
    <row r="422" spans="7:13" x14ac:dyDescent="0.25">
      <c r="H422" s="289"/>
      <c r="I422" s="437"/>
      <c r="J422" s="280">
        <f t="shared" si="75"/>
        <v>0</v>
      </c>
      <c r="K422" s="286"/>
      <c r="L422" s="287"/>
      <c r="M422" s="287"/>
    </row>
    <row r="423" spans="7:13" x14ac:dyDescent="0.25">
      <c r="H423" s="289"/>
      <c r="I423" s="408"/>
      <c r="J423" s="280">
        <f t="shared" si="75"/>
        <v>0</v>
      </c>
      <c r="K423" s="286"/>
      <c r="L423" s="287"/>
      <c r="M423" s="287"/>
    </row>
    <row r="424" spans="7:13" x14ac:dyDescent="0.25">
      <c r="H424" s="283"/>
      <c r="I424" s="285"/>
      <c r="J424" s="280">
        <f t="shared" si="75"/>
        <v>0</v>
      </c>
      <c r="K424" s="286"/>
      <c r="L424" s="287"/>
      <c r="M424" s="287"/>
    </row>
    <row r="425" spans="7:13" x14ac:dyDescent="0.25">
      <c r="H425" s="289"/>
      <c r="I425" s="408"/>
      <c r="J425" s="280">
        <f t="shared" si="75"/>
        <v>0</v>
      </c>
      <c r="K425" s="286"/>
      <c r="L425" s="287"/>
      <c r="M425" s="287"/>
    </row>
    <row r="426" spans="7:13" x14ac:dyDescent="0.25">
      <c r="H426" s="289"/>
      <c r="I426" s="408"/>
      <c r="J426" s="280">
        <f t="shared" si="75"/>
        <v>0</v>
      </c>
      <c r="K426" s="286"/>
      <c r="L426" s="287"/>
      <c r="M426" s="287"/>
    </row>
    <row r="427" spans="7:13" x14ac:dyDescent="0.25">
      <c r="H427" s="289"/>
      <c r="I427" s="408"/>
      <c r="J427" s="280">
        <f t="shared" si="75"/>
        <v>0</v>
      </c>
      <c r="K427" s="286"/>
      <c r="L427" s="287"/>
      <c r="M427" s="287"/>
    </row>
    <row r="428" spans="7:13" x14ac:dyDescent="0.25">
      <c r="H428" s="289"/>
      <c r="I428" s="290"/>
      <c r="J428" s="291">
        <f t="shared" si="75"/>
        <v>0</v>
      </c>
      <c r="K428" s="292"/>
      <c r="L428" s="286"/>
      <c r="M428" s="286"/>
    </row>
    <row r="429" spans="7:13" x14ac:dyDescent="0.25">
      <c r="H429" s="293"/>
      <c r="I429" s="290"/>
      <c r="J429" s="280">
        <f t="shared" si="75"/>
        <v>0</v>
      </c>
      <c r="K429" s="286"/>
      <c r="L429" s="286"/>
      <c r="M429" s="286"/>
    </row>
    <row r="430" spans="7:13" x14ac:dyDescent="0.25">
      <c r="H430" s="293"/>
      <c r="I430" s="290"/>
      <c r="J430" s="280">
        <f t="shared" si="75"/>
        <v>0</v>
      </c>
      <c r="K430" s="286"/>
      <c r="L430" s="286"/>
      <c r="M430" s="286"/>
    </row>
    <row r="431" spans="7:13" x14ac:dyDescent="0.25">
      <c r="H431" s="293"/>
      <c r="I431" s="290"/>
      <c r="J431" s="280">
        <f t="shared" si="75"/>
        <v>0</v>
      </c>
      <c r="K431" s="286"/>
      <c r="L431" s="286"/>
      <c r="M431" s="286"/>
    </row>
    <row r="432" spans="7:13" x14ac:dyDescent="0.25">
      <c r="H432" s="293"/>
      <c r="I432" s="290"/>
      <c r="J432" s="280">
        <f t="shared" si="75"/>
        <v>0</v>
      </c>
      <c r="K432" s="286"/>
      <c r="L432" s="286"/>
      <c r="M432" s="286"/>
    </row>
    <row r="433" spans="8:13" x14ac:dyDescent="0.25">
      <c r="H433" s="293"/>
      <c r="I433" s="290"/>
      <c r="J433" s="280">
        <f t="shared" si="75"/>
        <v>0</v>
      </c>
      <c r="K433" s="286"/>
      <c r="L433" s="286"/>
      <c r="M433" s="286"/>
    </row>
    <row r="434" spans="8:13" x14ac:dyDescent="0.25">
      <c r="H434" s="293"/>
      <c r="I434" s="427"/>
      <c r="J434" s="280">
        <f t="shared" si="75"/>
        <v>0</v>
      </c>
      <c r="K434" s="287"/>
      <c r="L434" s="286"/>
      <c r="M434" s="286"/>
    </row>
    <row r="435" spans="8:13" x14ac:dyDescent="0.25">
      <c r="H435" s="293"/>
      <c r="I435" s="438"/>
      <c r="J435" s="280">
        <f t="shared" si="75"/>
        <v>0</v>
      </c>
      <c r="K435" s="287"/>
      <c r="L435" s="286"/>
      <c r="M435" s="286"/>
    </row>
    <row r="436" spans="8:13" x14ac:dyDescent="0.25">
      <c r="H436" s="293"/>
      <c r="I436" s="438"/>
      <c r="J436" s="280">
        <f t="shared" si="75"/>
        <v>0</v>
      </c>
      <c r="K436" s="287"/>
      <c r="L436" s="286"/>
      <c r="M436" s="286"/>
    </row>
    <row r="437" spans="8:13" x14ac:dyDescent="0.25">
      <c r="H437" s="294"/>
      <c r="I437" s="295"/>
      <c r="J437" s="280">
        <f t="shared" si="75"/>
        <v>0</v>
      </c>
      <c r="K437" s="287"/>
      <c r="L437" s="286"/>
      <c r="M437" s="286"/>
    </row>
    <row r="438" spans="8:13" x14ac:dyDescent="0.25">
      <c r="H438" s="296"/>
      <c r="I438" s="295"/>
      <c r="J438" s="280">
        <f t="shared" si="75"/>
        <v>0</v>
      </c>
      <c r="K438" s="287"/>
      <c r="L438" s="286"/>
      <c r="M438" s="286"/>
    </row>
    <row r="439" spans="8:13" x14ac:dyDescent="0.25">
      <c r="H439" s="378"/>
      <c r="I439" s="295"/>
      <c r="J439" s="280">
        <f t="shared" si="75"/>
        <v>0</v>
      </c>
      <c r="K439" s="286"/>
      <c r="L439" s="286"/>
      <c r="M439" s="286"/>
    </row>
    <row r="440" spans="8:13" x14ac:dyDescent="0.25">
      <c r="H440" s="297"/>
      <c r="I440" s="295"/>
      <c r="J440" s="280">
        <f t="shared" si="75"/>
        <v>0</v>
      </c>
      <c r="K440" s="286"/>
      <c r="L440" s="286"/>
      <c r="M440" s="286"/>
    </row>
    <row r="441" spans="8:13" x14ac:dyDescent="0.25">
      <c r="H441" s="297"/>
      <c r="I441" s="295"/>
      <c r="J441" s="280">
        <f t="shared" si="75"/>
        <v>0</v>
      </c>
      <c r="K441" s="286"/>
      <c r="L441" s="286"/>
      <c r="M441" s="286"/>
    </row>
    <row r="442" spans="8:13" x14ac:dyDescent="0.25">
      <c r="H442" s="297"/>
      <c r="I442" s="295"/>
      <c r="J442" s="284">
        <f t="shared" si="75"/>
        <v>0</v>
      </c>
      <c r="K442" s="298"/>
      <c r="L442" s="298"/>
      <c r="M442" s="298"/>
    </row>
    <row r="443" spans="8:13" x14ac:dyDescent="0.25">
      <c r="H443" s="297"/>
      <c r="I443" s="295"/>
      <c r="J443" s="284">
        <f t="shared" si="75"/>
        <v>0</v>
      </c>
      <c r="K443" s="286"/>
      <c r="L443" s="286"/>
      <c r="M443" s="286"/>
    </row>
    <row r="444" spans="8:13" x14ac:dyDescent="0.25">
      <c r="J444" s="284">
        <f t="shared" si="75"/>
        <v>0</v>
      </c>
      <c r="K444" s="286"/>
      <c r="L444" s="286"/>
      <c r="M444" s="286"/>
    </row>
    <row r="445" spans="8:13" x14ac:dyDescent="0.25">
      <c r="J445" s="284">
        <f t="shared" si="75"/>
        <v>0</v>
      </c>
      <c r="K445" s="286"/>
      <c r="L445" s="286"/>
      <c r="M445" s="286"/>
    </row>
    <row r="446" spans="8:13" x14ac:dyDescent="0.25">
      <c r="J446" s="284">
        <f t="shared" si="75"/>
        <v>0</v>
      </c>
      <c r="K446" s="286"/>
      <c r="L446" s="286"/>
      <c r="M446" s="286"/>
    </row>
    <row r="447" spans="8:13" x14ac:dyDescent="0.25">
      <c r="J447" s="284">
        <f t="shared" si="75"/>
        <v>0</v>
      </c>
      <c r="K447" s="286"/>
      <c r="L447" s="286"/>
      <c r="M447" s="286"/>
    </row>
    <row r="448" spans="8:13" x14ac:dyDescent="0.25">
      <c r="J448" s="284">
        <f t="shared" si="75"/>
        <v>0</v>
      </c>
      <c r="K448" s="286"/>
      <c r="L448" s="286"/>
      <c r="M448" s="286"/>
    </row>
    <row r="449" spans="10:13" x14ac:dyDescent="0.25">
      <c r="J449" s="284">
        <f t="shared" si="75"/>
        <v>0</v>
      </c>
      <c r="K449" s="286"/>
      <c r="L449" s="286"/>
      <c r="M449" s="286"/>
    </row>
    <row r="450" spans="10:13" x14ac:dyDescent="0.25">
      <c r="J450" s="284"/>
      <c r="K450" s="286"/>
      <c r="L450" s="286"/>
      <c r="M450" s="286"/>
    </row>
    <row r="451" spans="10:13" x14ac:dyDescent="0.25">
      <c r="J451" s="284"/>
      <c r="K451" s="286"/>
      <c r="L451" s="286"/>
      <c r="M451" s="286"/>
    </row>
    <row r="452" spans="10:13" x14ac:dyDescent="0.25">
      <c r="J452" s="284"/>
      <c r="K452" s="286"/>
      <c r="L452" s="286"/>
      <c r="M452" s="286"/>
    </row>
  </sheetData>
  <autoFilter ref="A6:M358">
    <filterColumn colId="0">
      <customFilters>
        <customFilter operator="notEqual" val=" "/>
      </customFilters>
    </filterColumn>
  </autoFilter>
  <mergeCells count="22">
    <mergeCell ref="J401:K401"/>
    <mergeCell ref="J5:J6"/>
    <mergeCell ref="L5:M5"/>
    <mergeCell ref="G414:G416"/>
    <mergeCell ref="H414:H416"/>
    <mergeCell ref="J356:K356"/>
    <mergeCell ref="E356:G356"/>
    <mergeCell ref="I373:I377"/>
    <mergeCell ref="H370:H372"/>
    <mergeCell ref="G370:G372"/>
    <mergeCell ref="D1:M1"/>
    <mergeCell ref="F5:F6"/>
    <mergeCell ref="H5:H6"/>
    <mergeCell ref="K5:K6"/>
    <mergeCell ref="D5:D6"/>
    <mergeCell ref="G5:G6"/>
    <mergeCell ref="E5:E6"/>
    <mergeCell ref="I417:I422"/>
    <mergeCell ref="I435:I436"/>
    <mergeCell ref="I390:I391"/>
    <mergeCell ref="D352:G352"/>
    <mergeCell ref="I5:I6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37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oddFooter>&amp;R&amp;P</oddFooter>
    <firstHeader>&amp;R&amp;"Times New Roman,Обычный"&amp;24Додаток 6
до рішення виконавчого комітету
від       .07.2025 року №________</firstHeader>
  </headerFooter>
  <rowBreaks count="2" manualBreakCount="2">
    <brk id="230" min="2" max="12" man="1"/>
    <brk id="265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321</v>
      </c>
    </row>
    <row r="2" spans="1:8" x14ac:dyDescent="0.2">
      <c r="A2" s="399">
        <v>61363670</v>
      </c>
      <c r="B2" s="399">
        <f>+A2*0.22</f>
        <v>13500007.4</v>
      </c>
      <c r="C2" s="399">
        <f>+A2+B2</f>
        <v>74863677.400000006</v>
      </c>
      <c r="D2" s="400">
        <v>1010</v>
      </c>
      <c r="E2" s="399"/>
      <c r="F2" s="399"/>
      <c r="G2" s="399"/>
      <c r="H2" s="399"/>
    </row>
    <row r="3" spans="1:8" x14ac:dyDescent="0.2">
      <c r="A3" s="399">
        <v>29819160</v>
      </c>
      <c r="B3" s="399">
        <f t="shared" ref="B3:B10" si="0">+A3*0.22</f>
        <v>6560215.2000000002</v>
      </c>
      <c r="C3" s="399">
        <f t="shared" ref="C3:C12" si="1">+A3+B3</f>
        <v>36379375.200000003</v>
      </c>
      <c r="D3" s="400">
        <v>1021</v>
      </c>
      <c r="E3" s="399"/>
      <c r="F3" s="399"/>
      <c r="G3" s="399"/>
      <c r="H3" s="399"/>
    </row>
    <row r="4" spans="1:8" x14ac:dyDescent="0.2">
      <c r="A4" s="399">
        <v>4855372</v>
      </c>
      <c r="B4" s="399">
        <f t="shared" si="0"/>
        <v>1068181.8400000001</v>
      </c>
      <c r="C4" s="399">
        <f t="shared" si="1"/>
        <v>5923553.8399999999</v>
      </c>
      <c r="D4" s="400">
        <v>1070</v>
      </c>
      <c r="E4" s="399"/>
      <c r="F4" s="399"/>
      <c r="G4" s="399"/>
      <c r="H4" s="399"/>
    </row>
    <row r="5" spans="1:8" x14ac:dyDescent="0.2">
      <c r="A5" s="399">
        <v>6323971</v>
      </c>
      <c r="B5" s="399">
        <f t="shared" si="0"/>
        <v>1391273.62</v>
      </c>
      <c r="C5" s="399">
        <f t="shared" si="1"/>
        <v>7715244.6200000001</v>
      </c>
      <c r="D5" s="400">
        <v>1141</v>
      </c>
      <c r="E5" s="399"/>
      <c r="F5" s="399"/>
      <c r="G5" s="399"/>
      <c r="H5" s="399"/>
    </row>
    <row r="6" spans="1:8" x14ac:dyDescent="0.2">
      <c r="A6" s="399">
        <v>1850537</v>
      </c>
      <c r="B6" s="399">
        <f t="shared" si="0"/>
        <v>407118.14</v>
      </c>
      <c r="C6" s="399">
        <f t="shared" si="1"/>
        <v>2257655.14</v>
      </c>
      <c r="D6" s="400" t="s">
        <v>319</v>
      </c>
      <c r="E6" s="399"/>
      <c r="F6" s="399"/>
      <c r="G6" s="399"/>
      <c r="H6" s="399"/>
    </row>
    <row r="7" spans="1:8" x14ac:dyDescent="0.2">
      <c r="A7" s="399">
        <v>5034760</v>
      </c>
      <c r="B7" s="399">
        <f t="shared" si="0"/>
        <v>1107647.2</v>
      </c>
      <c r="C7" s="399">
        <f t="shared" si="1"/>
        <v>6142407.2000000002</v>
      </c>
      <c r="D7" s="400" t="s">
        <v>320</v>
      </c>
      <c r="E7" s="399"/>
      <c r="F7" s="399"/>
      <c r="G7" s="399"/>
      <c r="H7" s="399"/>
    </row>
    <row r="8" spans="1:8" x14ac:dyDescent="0.2">
      <c r="A8" s="399">
        <v>592549</v>
      </c>
      <c r="B8" s="399">
        <f t="shared" si="0"/>
        <v>130360.78</v>
      </c>
      <c r="C8" s="399">
        <f t="shared" si="1"/>
        <v>722909.78</v>
      </c>
      <c r="D8" s="400">
        <v>1151</v>
      </c>
      <c r="E8" s="399"/>
      <c r="F8" s="399"/>
      <c r="G8" s="399"/>
      <c r="H8" s="399"/>
    </row>
    <row r="9" spans="1:8" x14ac:dyDescent="0.2">
      <c r="A9" s="404"/>
      <c r="B9" s="399">
        <f t="shared" si="0"/>
        <v>0</v>
      </c>
      <c r="C9" s="399">
        <f t="shared" si="1"/>
        <v>0</v>
      </c>
      <c r="D9" s="400">
        <v>1152</v>
      </c>
      <c r="E9" s="399"/>
      <c r="F9" s="399"/>
      <c r="G9" s="399"/>
      <c r="H9" s="399"/>
    </row>
    <row r="10" spans="1:8" x14ac:dyDescent="0.2">
      <c r="A10" s="399">
        <v>1589702.48</v>
      </c>
      <c r="B10" s="399">
        <f t="shared" si="0"/>
        <v>349734.54560000001</v>
      </c>
      <c r="C10" s="399">
        <f t="shared" si="1"/>
        <v>1939437.0256000001</v>
      </c>
      <c r="D10" s="400">
        <v>1160</v>
      </c>
      <c r="E10" s="399"/>
      <c r="F10" s="399"/>
      <c r="G10" s="399"/>
      <c r="H10" s="399"/>
    </row>
    <row r="11" spans="1:8" s="403" customFormat="1" x14ac:dyDescent="0.2">
      <c r="A11" s="401">
        <f>SUM(A2:A10)</f>
        <v>111429721.48</v>
      </c>
      <c r="B11" s="401">
        <f>SUM(B2:B10)</f>
        <v>24514538.725600004</v>
      </c>
      <c r="C11" s="401">
        <f>SUM(C2:C10)</f>
        <v>135944260.20560002</v>
      </c>
      <c r="D11" s="402"/>
      <c r="E11" s="401"/>
      <c r="F11" s="401"/>
      <c r="G11" s="401"/>
      <c r="H11" s="401"/>
    </row>
    <row r="12" spans="1:8" x14ac:dyDescent="0.2">
      <c r="A12" s="399">
        <v>3201755</v>
      </c>
      <c r="B12" s="399">
        <f>+A12*0.22</f>
        <v>704386.1</v>
      </c>
      <c r="C12" s="399">
        <f t="shared" si="1"/>
        <v>3906141.1</v>
      </c>
      <c r="D12" s="400">
        <v>5031</v>
      </c>
      <c r="E12" s="399"/>
      <c r="F12" s="399"/>
      <c r="G12" s="399"/>
      <c r="H12" s="399"/>
    </row>
    <row r="13" spans="1:8" s="403" customFormat="1" x14ac:dyDescent="0.2">
      <c r="A13" s="401">
        <f>+A11+A12</f>
        <v>114631476.48</v>
      </c>
      <c r="B13" s="401">
        <f>+B11+B12</f>
        <v>25218924.825600006</v>
      </c>
      <c r="C13" s="401">
        <f>+C11+C12</f>
        <v>139850401.30560002</v>
      </c>
      <c r="D13" s="401"/>
      <c r="E13" s="401"/>
      <c r="F13" s="401"/>
      <c r="G13" s="401"/>
      <c r="H13" s="401"/>
    </row>
    <row r="14" spans="1:8" x14ac:dyDescent="0.2">
      <c r="A14" s="399"/>
      <c r="B14" s="399"/>
      <c r="C14" s="399"/>
      <c r="D14" s="399"/>
      <c r="E14" s="399"/>
      <c r="F14" s="399"/>
      <c r="G14" s="399"/>
      <c r="H14" s="399"/>
    </row>
    <row r="15" spans="1:8" x14ac:dyDescent="0.2">
      <c r="A15" s="399"/>
      <c r="B15" s="399"/>
      <c r="C15" s="399"/>
      <c r="D15" s="399"/>
      <c r="E15" s="399"/>
      <c r="F15" s="399"/>
      <c r="G15" s="399"/>
      <c r="H15" s="399"/>
    </row>
    <row r="16" spans="1:8" x14ac:dyDescent="0.2">
      <c r="A16" s="399"/>
      <c r="B16" s="399"/>
      <c r="C16" s="399"/>
      <c r="D16" s="399"/>
      <c r="E16" s="399"/>
      <c r="F16" s="399"/>
      <c r="G16" s="399"/>
      <c r="H16" s="399"/>
    </row>
    <row r="17" spans="1:8" x14ac:dyDescent="0.2">
      <c r="A17" s="399"/>
      <c r="B17" s="399"/>
      <c r="C17" s="399"/>
      <c r="D17" s="399"/>
      <c r="E17" s="399"/>
      <c r="F17" s="399"/>
      <c r="G17" s="399"/>
      <c r="H17" s="399"/>
    </row>
    <row r="18" spans="1:8" x14ac:dyDescent="0.2">
      <c r="A18" s="399"/>
      <c r="B18" s="399"/>
      <c r="C18" s="399"/>
      <c r="D18" s="399"/>
      <c r="E18" s="399"/>
      <c r="F18" s="399"/>
      <c r="G18" s="399"/>
      <c r="H18" s="399"/>
    </row>
    <row r="19" spans="1:8" x14ac:dyDescent="0.2">
      <c r="A19" s="399"/>
      <c r="B19" s="399"/>
      <c r="C19" s="399"/>
      <c r="D19" s="399"/>
      <c r="E19" s="399"/>
      <c r="F19" s="399"/>
      <c r="G19" s="399"/>
      <c r="H19" s="399"/>
    </row>
    <row r="20" spans="1:8" x14ac:dyDescent="0.2">
      <c r="A20" s="399"/>
      <c r="B20" s="399"/>
      <c r="C20" s="399"/>
      <c r="D20" s="399"/>
      <c r="E20" s="399"/>
      <c r="F20" s="399"/>
      <c r="G20" s="399"/>
      <c r="H20" s="399"/>
    </row>
    <row r="21" spans="1:8" x14ac:dyDescent="0.2">
      <c r="A21" s="399"/>
      <c r="B21" s="399"/>
      <c r="C21" s="399"/>
      <c r="D21" s="399"/>
      <c r="E21" s="399"/>
      <c r="F21" s="399"/>
      <c r="G21" s="399"/>
      <c r="H21" s="399"/>
    </row>
    <row r="22" spans="1:8" x14ac:dyDescent="0.2">
      <c r="A22" s="399"/>
      <c r="B22" s="399"/>
      <c r="C22" s="399"/>
      <c r="D22" s="399"/>
      <c r="E22" s="399"/>
      <c r="F22" s="399"/>
      <c r="G22" s="399"/>
      <c r="H22" s="399"/>
    </row>
    <row r="23" spans="1:8" x14ac:dyDescent="0.2">
      <c r="A23" s="399"/>
      <c r="B23" s="399"/>
      <c r="C23" s="399"/>
      <c r="D23" s="399"/>
      <c r="E23" s="399"/>
      <c r="F23" s="399"/>
      <c r="G23" s="399"/>
      <c r="H23" s="399"/>
    </row>
    <row r="24" spans="1:8" x14ac:dyDescent="0.2">
      <c r="A24" s="399"/>
      <c r="B24" s="399"/>
      <c r="C24" s="399"/>
      <c r="D24" s="399"/>
      <c r="E24" s="399"/>
      <c r="F24" s="399"/>
      <c r="G24" s="399"/>
      <c r="H24" s="399"/>
    </row>
    <row r="25" spans="1:8" x14ac:dyDescent="0.2">
      <c r="A25" s="399"/>
      <c r="B25" s="399"/>
      <c r="C25" s="399"/>
      <c r="D25" s="399"/>
      <c r="E25" s="399"/>
      <c r="F25" s="399"/>
      <c r="G25" s="399"/>
      <c r="H25" s="399"/>
    </row>
    <row r="26" spans="1:8" x14ac:dyDescent="0.2">
      <c r="A26" s="399"/>
      <c r="B26" s="399"/>
      <c r="C26" s="399"/>
      <c r="D26" s="399"/>
      <c r="E26" s="399"/>
      <c r="F26" s="399"/>
      <c r="G26" s="399"/>
      <c r="H26" s="3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GorFo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Пользователь Windows</cp:lastModifiedBy>
  <cp:lastPrinted>2025-06-24T07:27:43Z</cp:lastPrinted>
  <dcterms:created xsi:type="dcterms:W3CDTF">2008-06-19T08:03:43Z</dcterms:created>
  <dcterms:modified xsi:type="dcterms:W3CDTF">2025-07-02T09:51:58Z</dcterms:modified>
</cp:coreProperties>
</file>