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езерв\Users\Public\ДОГОВОРА\Договора ЕІСУБ фін упр\РІШЕННЯ 2025\Рішення 2025-02-20 сесія ПРОЄКТ\"/>
    </mc:Choice>
  </mc:AlternateContent>
  <xr:revisionPtr revIDLastSave="0" documentId="13_ncr:1_{7415772B-EF79-47B0-8031-3B50EC3CD5F6}" xr6:coauthVersionLast="47" xr6:coauthVersionMax="47" xr10:uidLastSave="{00000000-0000-0000-0000-000000000000}"/>
  <bookViews>
    <workbookView xWindow="-120" yWindow="-120" windowWidth="29040" windowHeight="15840" tabRatio="454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Лист1!$A$6:$M$351</definedName>
    <definedName name="_xlnm.Print_Titles" localSheetId="0">Лист1!$7:$7</definedName>
    <definedName name="_xlnm.Print_Area" localSheetId="0">Лист1!$C$1:$M$350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2" i="1" l="1"/>
  <c r="M330" i="1" l="1"/>
  <c r="L330" i="1"/>
  <c r="J191" i="1"/>
  <c r="J190" i="1"/>
  <c r="K228" i="1"/>
  <c r="M250" i="1"/>
  <c r="L250" i="1"/>
  <c r="K197" i="1"/>
  <c r="M29" i="1" l="1"/>
  <c r="L29" i="1"/>
  <c r="K406" i="1"/>
  <c r="M327" i="1"/>
  <c r="L327" i="1"/>
  <c r="M329" i="1" l="1"/>
  <c r="L329" i="1"/>
  <c r="M336" i="1"/>
  <c r="M334" i="1"/>
  <c r="L334" i="1"/>
  <c r="L336" i="1"/>
  <c r="K334" i="1"/>
  <c r="K241" i="1"/>
  <c r="K240" i="1"/>
  <c r="K11" i="1"/>
  <c r="M63" i="1" l="1"/>
  <c r="L63" i="1"/>
  <c r="L156" i="1"/>
  <c r="K178" i="1"/>
  <c r="M79" i="1"/>
  <c r="L79" i="1"/>
  <c r="K98" i="1"/>
  <c r="A350" i="1" l="1"/>
  <c r="J340" i="1"/>
  <c r="A340" i="1" s="1"/>
  <c r="M338" i="1"/>
  <c r="L338" i="1"/>
  <c r="K338" i="1"/>
  <c r="J339" i="1"/>
  <c r="A339" i="1" s="1"/>
  <c r="J338" i="1" l="1"/>
  <c r="A338" i="1" s="1"/>
  <c r="M402" i="1" l="1"/>
  <c r="K402" i="1"/>
  <c r="K401" i="1" s="1"/>
  <c r="J442" i="1"/>
  <c r="J441" i="1"/>
  <c r="J440" i="1"/>
  <c r="J439" i="1"/>
  <c r="J438" i="1" l="1"/>
  <c r="J178" i="1" l="1"/>
  <c r="A178" i="1" s="1"/>
  <c r="M177" i="1"/>
  <c r="M176" i="1" s="1"/>
  <c r="M175" i="1" s="1"/>
  <c r="L177" i="1"/>
  <c r="L176" i="1" s="1"/>
  <c r="L175" i="1" s="1"/>
  <c r="K177" i="1"/>
  <c r="K176" i="1" s="1"/>
  <c r="J437" i="1"/>
  <c r="J177" i="1" l="1"/>
  <c r="A177" i="1" s="1"/>
  <c r="J176" i="1"/>
  <c r="A176" i="1" s="1"/>
  <c r="K175" i="1"/>
  <c r="J175" i="1" s="1"/>
  <c r="A175" i="1" s="1"/>
  <c r="J164" i="1" l="1"/>
  <c r="A164" i="1" s="1"/>
  <c r="M163" i="1"/>
  <c r="M162" i="1" s="1"/>
  <c r="M161" i="1" s="1"/>
  <c r="L163" i="1"/>
  <c r="L162" i="1" s="1"/>
  <c r="L161" i="1" s="1"/>
  <c r="K163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163" i="1" l="1"/>
  <c r="A163" i="1" s="1"/>
  <c r="K162" i="1"/>
  <c r="B12" i="2"/>
  <c r="C12" i="2" s="1"/>
  <c r="B3" i="2"/>
  <c r="C3" i="2" s="1"/>
  <c r="B4" i="2"/>
  <c r="C4" i="2" s="1"/>
  <c r="B5" i="2"/>
  <c r="C5" i="2" s="1"/>
  <c r="B6" i="2"/>
  <c r="C6" i="2" s="1"/>
  <c r="B7" i="2"/>
  <c r="C7" i="2" s="1"/>
  <c r="B8" i="2"/>
  <c r="C8" i="2" s="1"/>
  <c r="B9" i="2"/>
  <c r="C9" i="2" s="1"/>
  <c r="B10" i="2"/>
  <c r="C10" i="2" s="1"/>
  <c r="B2" i="2"/>
  <c r="B11" i="2" s="1"/>
  <c r="B13" i="2" s="1"/>
  <c r="J162" i="1" l="1"/>
  <c r="A162" i="1" s="1"/>
  <c r="K161" i="1"/>
  <c r="J161" i="1" s="1"/>
  <c r="A161" i="1" s="1"/>
  <c r="C2" i="2"/>
  <c r="C11" i="2" s="1"/>
  <c r="C13" i="2" s="1"/>
  <c r="A11" i="2"/>
  <c r="A13" i="2" s="1"/>
  <c r="M290" i="1" l="1"/>
  <c r="L290" i="1"/>
  <c r="M220" i="1" l="1"/>
  <c r="L220" i="1"/>
  <c r="M337" i="1" l="1"/>
  <c r="L337" i="1"/>
  <c r="K337" i="1"/>
  <c r="J337" i="1" l="1"/>
  <c r="A337" i="1" s="1"/>
  <c r="K28" i="1" l="1"/>
  <c r="K27" i="1" s="1"/>
  <c r="J62" i="1" l="1"/>
  <c r="A62" i="1" s="1"/>
  <c r="M61" i="1"/>
  <c r="L61" i="1"/>
  <c r="K61" i="1" l="1"/>
  <c r="K60" i="1" s="1"/>
  <c r="M60" i="1"/>
  <c r="L60" i="1"/>
  <c r="J63" i="1"/>
  <c r="A63" i="1" s="1"/>
  <c r="M69" i="1"/>
  <c r="L69" i="1"/>
  <c r="L65" i="1" s="1"/>
  <c r="M312" i="1"/>
  <c r="L312" i="1"/>
  <c r="K220" i="1"/>
  <c r="J61" i="1" l="1"/>
  <c r="A61" i="1" s="1"/>
  <c r="J60" i="1"/>
  <c r="A60" i="1" s="1"/>
  <c r="M28" i="1"/>
  <c r="M27" i="1" s="1"/>
  <c r="L28" i="1"/>
  <c r="J33" i="1"/>
  <c r="J34" i="1"/>
  <c r="A34" i="1" s="1"/>
  <c r="J224" i="1" l="1"/>
  <c r="J255" i="1" l="1"/>
  <c r="A255" i="1" s="1"/>
  <c r="J256" i="1"/>
  <c r="M253" i="1"/>
  <c r="L253" i="1"/>
  <c r="K253" i="1"/>
  <c r="J25" i="1" l="1"/>
  <c r="J19" i="1"/>
  <c r="J20" i="1"/>
  <c r="J22" i="1"/>
  <c r="J23" i="1"/>
  <c r="J24" i="1"/>
  <c r="K10" i="1" l="1"/>
  <c r="J436" i="1" l="1"/>
  <c r="J429" i="1" l="1"/>
  <c r="J428" i="1"/>
  <c r="J427" i="1"/>
  <c r="J426" i="1"/>
  <c r="J425" i="1"/>
  <c r="J424" i="1"/>
  <c r="J423" i="1"/>
  <c r="J422" i="1"/>
  <c r="L287" i="1"/>
  <c r="J292" i="1" l="1"/>
  <c r="A292" i="1" s="1"/>
  <c r="K212" i="1"/>
  <c r="J223" i="1"/>
  <c r="A223" i="1" s="1"/>
  <c r="J335" i="1" l="1"/>
  <c r="A335" i="1" s="1"/>
  <c r="J220" i="1" l="1"/>
  <c r="J228" i="1"/>
  <c r="A228" i="1" s="1"/>
  <c r="M227" i="1"/>
  <c r="L227" i="1"/>
  <c r="K227" i="1"/>
  <c r="M226" i="1"/>
  <c r="L226" i="1"/>
  <c r="K226" i="1"/>
  <c r="J226" i="1" l="1"/>
  <c r="A226" i="1" s="1"/>
  <c r="J227" i="1"/>
  <c r="A227" i="1" s="1"/>
  <c r="M146" i="1"/>
  <c r="L146" i="1"/>
  <c r="K146" i="1"/>
  <c r="J147" i="1" l="1"/>
  <c r="A147" i="1" s="1"/>
  <c r="J421" i="1" l="1"/>
  <c r="J420" i="1"/>
  <c r="J419" i="1"/>
  <c r="J67" i="1"/>
  <c r="A67" i="1" s="1"/>
  <c r="J329" i="1"/>
  <c r="A329" i="1" s="1"/>
  <c r="J111" i="1"/>
  <c r="K332" i="1"/>
  <c r="K65" i="1" l="1"/>
  <c r="M65" i="1"/>
  <c r="K64" i="1" l="1"/>
  <c r="J68" i="1"/>
  <c r="A68" i="1" s="1"/>
  <c r="J344" i="1"/>
  <c r="A344" i="1" s="1"/>
  <c r="J343" i="1"/>
  <c r="A343" i="1" s="1"/>
  <c r="M342" i="1"/>
  <c r="M341" i="1" s="1"/>
  <c r="L342" i="1"/>
  <c r="L341" i="1" s="1"/>
  <c r="K342" i="1"/>
  <c r="K341" i="1" s="1"/>
  <c r="J336" i="1"/>
  <c r="A336" i="1" s="1"/>
  <c r="J334" i="1"/>
  <c r="A334" i="1" s="1"/>
  <c r="M333" i="1"/>
  <c r="L333" i="1"/>
  <c r="J332" i="1"/>
  <c r="A332" i="1" s="1"/>
  <c r="J331" i="1"/>
  <c r="A331" i="1" s="1"/>
  <c r="J330" i="1"/>
  <c r="A330" i="1" s="1"/>
  <c r="J328" i="1"/>
  <c r="A328" i="1" s="1"/>
  <c r="J327" i="1"/>
  <c r="A327" i="1" s="1"/>
  <c r="M326" i="1"/>
  <c r="L326" i="1"/>
  <c r="J326" i="1" s="1"/>
  <c r="A326" i="1" s="1"/>
  <c r="J325" i="1"/>
  <c r="A325" i="1" s="1"/>
  <c r="J324" i="1"/>
  <c r="A324" i="1" s="1"/>
  <c r="J323" i="1"/>
  <c r="A323" i="1" s="1"/>
  <c r="J322" i="1"/>
  <c r="A322" i="1" s="1"/>
  <c r="J321" i="1"/>
  <c r="A321" i="1" s="1"/>
  <c r="J320" i="1"/>
  <c r="A320" i="1" s="1"/>
  <c r="M319" i="1"/>
  <c r="L319" i="1"/>
  <c r="K319" i="1"/>
  <c r="J318" i="1"/>
  <c r="A318" i="1" s="1"/>
  <c r="K317" i="1"/>
  <c r="J317" i="1" s="1"/>
  <c r="A317" i="1" s="1"/>
  <c r="M316" i="1"/>
  <c r="L316" i="1"/>
  <c r="J316" i="1" s="1"/>
  <c r="A316" i="1" s="1"/>
  <c r="J315" i="1"/>
  <c r="A315" i="1" s="1"/>
  <c r="J314" i="1"/>
  <c r="A314" i="1" s="1"/>
  <c r="J313" i="1"/>
  <c r="A313" i="1" s="1"/>
  <c r="K312" i="1"/>
  <c r="J311" i="1"/>
  <c r="A311" i="1" s="1"/>
  <c r="J310" i="1"/>
  <c r="A310" i="1" s="1"/>
  <c r="J307" i="1"/>
  <c r="A307" i="1" s="1"/>
  <c r="J306" i="1"/>
  <c r="A306" i="1" s="1"/>
  <c r="J305" i="1"/>
  <c r="A305" i="1" s="1"/>
  <c r="J304" i="1"/>
  <c r="A304" i="1" s="1"/>
  <c r="J303" i="1"/>
  <c r="A303" i="1" s="1"/>
  <c r="J302" i="1"/>
  <c r="A302" i="1" s="1"/>
  <c r="L300" i="1"/>
  <c r="L299" i="1" s="1"/>
  <c r="M300" i="1"/>
  <c r="M299" i="1" s="1"/>
  <c r="J298" i="1"/>
  <c r="A298" i="1" s="1"/>
  <c r="J297" i="1"/>
  <c r="A297" i="1" s="1"/>
  <c r="M296" i="1"/>
  <c r="M295" i="1" s="1"/>
  <c r="L296" i="1"/>
  <c r="L295" i="1" s="1"/>
  <c r="K296" i="1"/>
  <c r="K295" i="1" s="1"/>
  <c r="J294" i="1"/>
  <c r="A294" i="1" s="1"/>
  <c r="J293" i="1"/>
  <c r="A293" i="1" s="1"/>
  <c r="J291" i="1"/>
  <c r="A291" i="1" s="1"/>
  <c r="J290" i="1"/>
  <c r="A290" i="1" s="1"/>
  <c r="J289" i="1"/>
  <c r="A289" i="1" s="1"/>
  <c r="J288" i="1"/>
  <c r="A288" i="1" s="1"/>
  <c r="M287" i="1"/>
  <c r="M286" i="1" s="1"/>
  <c r="L286" i="1"/>
  <c r="K287" i="1"/>
  <c r="K286" i="1" s="1"/>
  <c r="J285" i="1"/>
  <c r="A285" i="1" s="1"/>
  <c r="J284" i="1"/>
  <c r="A284" i="1" s="1"/>
  <c r="J283" i="1"/>
  <c r="A283" i="1" s="1"/>
  <c r="J282" i="1"/>
  <c r="A282" i="1" s="1"/>
  <c r="J281" i="1"/>
  <c r="A281" i="1" s="1"/>
  <c r="J280" i="1"/>
  <c r="A280" i="1" s="1"/>
  <c r="J279" i="1"/>
  <c r="A279" i="1" s="1"/>
  <c r="J278" i="1"/>
  <c r="A278" i="1" s="1"/>
  <c r="M277" i="1"/>
  <c r="L277" i="1"/>
  <c r="J276" i="1"/>
  <c r="A276" i="1" s="1"/>
  <c r="J275" i="1"/>
  <c r="A275" i="1" s="1"/>
  <c r="J274" i="1"/>
  <c r="A274" i="1" s="1"/>
  <c r="M273" i="1"/>
  <c r="L273" i="1"/>
  <c r="K273" i="1"/>
  <c r="K260" i="1" s="1"/>
  <c r="K259" i="1" s="1"/>
  <c r="J272" i="1"/>
  <c r="A272" i="1" s="1"/>
  <c r="J271" i="1"/>
  <c r="A271" i="1" s="1"/>
  <c r="J270" i="1"/>
  <c r="A270" i="1" s="1"/>
  <c r="J269" i="1"/>
  <c r="A269" i="1" s="1"/>
  <c r="J268" i="1"/>
  <c r="A268" i="1" s="1"/>
  <c r="J267" i="1"/>
  <c r="A267" i="1" s="1"/>
  <c r="J266" i="1"/>
  <c r="A266" i="1" s="1"/>
  <c r="J265" i="1"/>
  <c r="A265" i="1" s="1"/>
  <c r="J264" i="1"/>
  <c r="A264" i="1" s="1"/>
  <c r="J263" i="1"/>
  <c r="A263" i="1" s="1"/>
  <c r="J262" i="1"/>
  <c r="A262" i="1" s="1"/>
  <c r="J261" i="1"/>
  <c r="A261" i="1" s="1"/>
  <c r="J257" i="1"/>
  <c r="A257" i="1" s="1"/>
  <c r="A256" i="1"/>
  <c r="J254" i="1"/>
  <c r="A254" i="1" s="1"/>
  <c r="M252" i="1"/>
  <c r="M251" i="1" s="1"/>
  <c r="L252" i="1"/>
  <c r="L251" i="1" s="1"/>
  <c r="K252" i="1"/>
  <c r="M249" i="1"/>
  <c r="M248" i="1" s="1"/>
  <c r="M247" i="1" s="1"/>
  <c r="J250" i="1"/>
  <c r="A250" i="1" s="1"/>
  <c r="L249" i="1"/>
  <c r="L248" i="1" s="1"/>
  <c r="L247" i="1" s="1"/>
  <c r="K249" i="1"/>
  <c r="K248" i="1" s="1"/>
  <c r="K247" i="1" s="1"/>
  <c r="J246" i="1"/>
  <c r="A246" i="1" s="1"/>
  <c r="M245" i="1"/>
  <c r="M244" i="1" s="1"/>
  <c r="M243" i="1" s="1"/>
  <c r="L245" i="1"/>
  <c r="L244" i="1" s="1"/>
  <c r="L243" i="1" s="1"/>
  <c r="K245" i="1"/>
  <c r="K244" i="1" s="1"/>
  <c r="J242" i="1"/>
  <c r="A242" i="1" s="1"/>
  <c r="J241" i="1"/>
  <c r="A241" i="1" s="1"/>
  <c r="M240" i="1"/>
  <c r="M239" i="1" s="1"/>
  <c r="M238" i="1" s="1"/>
  <c r="M237" i="1" s="1"/>
  <c r="L240" i="1"/>
  <c r="J240" i="1" s="1"/>
  <c r="A240" i="1" s="1"/>
  <c r="K239" i="1"/>
  <c r="J236" i="1"/>
  <c r="A236" i="1" s="1"/>
  <c r="M235" i="1"/>
  <c r="M234" i="1" s="1"/>
  <c r="M233" i="1" s="1"/>
  <c r="L235" i="1"/>
  <c r="L234" i="1" s="1"/>
  <c r="L233" i="1" s="1"/>
  <c r="K235" i="1"/>
  <c r="K234" i="1" s="1"/>
  <c r="J232" i="1"/>
  <c r="A232" i="1" s="1"/>
  <c r="M231" i="1"/>
  <c r="L231" i="1"/>
  <c r="K231" i="1"/>
  <c r="M230" i="1"/>
  <c r="M229" i="1" s="1"/>
  <c r="L230" i="1"/>
  <c r="L229" i="1" s="1"/>
  <c r="K230" i="1"/>
  <c r="K229" i="1" s="1"/>
  <c r="M225" i="1"/>
  <c r="L225" i="1"/>
  <c r="M219" i="1"/>
  <c r="M218" i="1" s="1"/>
  <c r="J222" i="1"/>
  <c r="A222" i="1" s="1"/>
  <c r="J221" i="1"/>
  <c r="A221" i="1" s="1"/>
  <c r="L219" i="1"/>
  <c r="L218" i="1" s="1"/>
  <c r="J217" i="1"/>
  <c r="A217" i="1" s="1"/>
  <c r="M216" i="1"/>
  <c r="M215" i="1" s="1"/>
  <c r="M214" i="1" s="1"/>
  <c r="L216" i="1"/>
  <c r="L215" i="1" s="1"/>
  <c r="L214" i="1" s="1"/>
  <c r="K216" i="1"/>
  <c r="K215" i="1" s="1"/>
  <c r="K214" i="1" s="1"/>
  <c r="M211" i="1"/>
  <c r="M210" i="1" s="1"/>
  <c r="M209" i="1" s="1"/>
  <c r="J213" i="1"/>
  <c r="A213" i="1" s="1"/>
  <c r="J212" i="1"/>
  <c r="A212" i="1" s="1"/>
  <c r="K211" i="1"/>
  <c r="J208" i="1"/>
  <c r="A208" i="1" s="1"/>
  <c r="L207" i="1"/>
  <c r="K207" i="1"/>
  <c r="L206" i="1"/>
  <c r="K206" i="1"/>
  <c r="J205" i="1"/>
  <c r="A205" i="1" s="1"/>
  <c r="L204" i="1"/>
  <c r="K204" i="1"/>
  <c r="L203" i="1"/>
  <c r="K203" i="1"/>
  <c r="J202" i="1"/>
  <c r="A202" i="1" s="1"/>
  <c r="L201" i="1"/>
  <c r="J201" i="1" s="1"/>
  <c r="J200" i="1"/>
  <c r="A200" i="1" s="1"/>
  <c r="J199" i="1"/>
  <c r="A199" i="1" s="1"/>
  <c r="J198" i="1"/>
  <c r="A198" i="1" s="1"/>
  <c r="J197" i="1"/>
  <c r="A197" i="1" s="1"/>
  <c r="J196" i="1"/>
  <c r="A196" i="1" s="1"/>
  <c r="J195" i="1"/>
  <c r="A195" i="1" s="1"/>
  <c r="J194" i="1"/>
  <c r="A194" i="1" s="1"/>
  <c r="J193" i="1"/>
  <c r="A193" i="1" s="1"/>
  <c r="L192" i="1"/>
  <c r="K192" i="1"/>
  <c r="K181" i="1" s="1"/>
  <c r="A191" i="1"/>
  <c r="A190" i="1"/>
  <c r="J189" i="1"/>
  <c r="A189" i="1" s="1"/>
  <c r="L188" i="1"/>
  <c r="J187" i="1"/>
  <c r="A187" i="1" s="1"/>
  <c r="J186" i="1"/>
  <c r="A186" i="1" s="1"/>
  <c r="J185" i="1"/>
  <c r="A185" i="1" s="1"/>
  <c r="J183" i="1"/>
  <c r="A183" i="1" s="1"/>
  <c r="J182" i="1"/>
  <c r="A182" i="1" s="1"/>
  <c r="M181" i="1"/>
  <c r="M180" i="1" s="1"/>
  <c r="M179" i="1" s="1"/>
  <c r="J174" i="1"/>
  <c r="A174" i="1" s="1"/>
  <c r="J173" i="1"/>
  <c r="A173" i="1" s="1"/>
  <c r="K172" i="1"/>
  <c r="J172" i="1" s="1"/>
  <c r="A172" i="1" s="1"/>
  <c r="J171" i="1"/>
  <c r="A171" i="1" s="1"/>
  <c r="M170" i="1"/>
  <c r="M169" i="1" s="1"/>
  <c r="L170" i="1"/>
  <c r="L169" i="1" s="1"/>
  <c r="J168" i="1"/>
  <c r="A168" i="1" s="1"/>
  <c r="M167" i="1"/>
  <c r="M166" i="1" s="1"/>
  <c r="L167" i="1"/>
  <c r="L166" i="1" s="1"/>
  <c r="K167" i="1"/>
  <c r="K166" i="1" s="1"/>
  <c r="M158" i="1"/>
  <c r="M157" i="1" s="1"/>
  <c r="J160" i="1"/>
  <c r="A160" i="1" s="1"/>
  <c r="L159" i="1"/>
  <c r="K159" i="1"/>
  <c r="L158" i="1"/>
  <c r="L157" i="1" s="1"/>
  <c r="K158" i="1"/>
  <c r="J156" i="1"/>
  <c r="A156" i="1" s="1"/>
  <c r="M155" i="1"/>
  <c r="L155" i="1"/>
  <c r="K155" i="1"/>
  <c r="M154" i="1"/>
  <c r="M153" i="1" s="1"/>
  <c r="L154" i="1"/>
  <c r="L153" i="1" s="1"/>
  <c r="K154" i="1"/>
  <c r="J152" i="1"/>
  <c r="A152" i="1" s="1"/>
  <c r="M151" i="1"/>
  <c r="M150" i="1" s="1"/>
  <c r="M149" i="1" s="1"/>
  <c r="L151" i="1"/>
  <c r="L150" i="1" s="1"/>
  <c r="L149" i="1" s="1"/>
  <c r="K151" i="1"/>
  <c r="J148" i="1"/>
  <c r="A148" i="1" s="1"/>
  <c r="M145" i="1"/>
  <c r="M144" i="1" s="1"/>
  <c r="L145" i="1"/>
  <c r="L144" i="1" s="1"/>
  <c r="K145" i="1"/>
  <c r="M143" i="1"/>
  <c r="M141" i="1" s="1"/>
  <c r="M140" i="1" s="1"/>
  <c r="L143" i="1"/>
  <c r="J143" i="1" s="1"/>
  <c r="A143" i="1" s="1"/>
  <c r="K142" i="1"/>
  <c r="M139" i="1"/>
  <c r="M137" i="1" s="1"/>
  <c r="M136" i="1" s="1"/>
  <c r="L139" i="1"/>
  <c r="L137" i="1" s="1"/>
  <c r="L136" i="1" s="1"/>
  <c r="K139" i="1"/>
  <c r="K137" i="1" s="1"/>
  <c r="K136" i="1" s="1"/>
  <c r="J138" i="1"/>
  <c r="A138" i="1" s="1"/>
  <c r="C138" i="1"/>
  <c r="J135" i="1"/>
  <c r="A135" i="1" s="1"/>
  <c r="M134" i="1"/>
  <c r="M132" i="1" s="1"/>
  <c r="M131" i="1" s="1"/>
  <c r="L134" i="1"/>
  <c r="L132" i="1" s="1"/>
  <c r="K134" i="1"/>
  <c r="K133" i="1"/>
  <c r="J133" i="1" s="1"/>
  <c r="A133" i="1" s="1"/>
  <c r="A130" i="1"/>
  <c r="J129" i="1"/>
  <c r="A129" i="1" s="1"/>
  <c r="J128" i="1"/>
  <c r="A128" i="1" s="1"/>
  <c r="M127" i="1"/>
  <c r="M126" i="1" s="1"/>
  <c r="L127" i="1"/>
  <c r="L126" i="1" s="1"/>
  <c r="K127" i="1"/>
  <c r="M124" i="1"/>
  <c r="L124" i="1"/>
  <c r="J124" i="1" s="1"/>
  <c r="A124" i="1" s="1"/>
  <c r="M123" i="1"/>
  <c r="M122" i="1" s="1"/>
  <c r="L123" i="1"/>
  <c r="J123" i="1" s="1"/>
  <c r="A123" i="1" s="1"/>
  <c r="K122" i="1"/>
  <c r="J121" i="1"/>
  <c r="A121" i="1" s="1"/>
  <c r="J120" i="1"/>
  <c r="A120" i="1" s="1"/>
  <c r="M119" i="1"/>
  <c r="M93" i="1" s="1"/>
  <c r="M92" i="1" s="1"/>
  <c r="M91" i="1" s="1"/>
  <c r="L119" i="1"/>
  <c r="L93" i="1" s="1"/>
  <c r="L92" i="1" s="1"/>
  <c r="L91" i="1" s="1"/>
  <c r="J118" i="1"/>
  <c r="A118" i="1" s="1"/>
  <c r="J116" i="1"/>
  <c r="A116" i="1" s="1"/>
  <c r="J115" i="1"/>
  <c r="A115" i="1" s="1"/>
  <c r="J114" i="1"/>
  <c r="A114" i="1" s="1"/>
  <c r="J113" i="1"/>
  <c r="A113" i="1" s="1"/>
  <c r="J112" i="1"/>
  <c r="A112" i="1" s="1"/>
  <c r="A111" i="1"/>
  <c r="J110" i="1"/>
  <c r="A110" i="1" s="1"/>
  <c r="J109" i="1"/>
  <c r="A109" i="1" s="1"/>
  <c r="J108" i="1"/>
  <c r="A108" i="1" s="1"/>
  <c r="J107" i="1"/>
  <c r="A107" i="1" s="1"/>
  <c r="J106" i="1"/>
  <c r="A106" i="1" s="1"/>
  <c r="J105" i="1"/>
  <c r="A105" i="1" s="1"/>
  <c r="J104" i="1"/>
  <c r="A104" i="1" s="1"/>
  <c r="J103" i="1"/>
  <c r="A103" i="1" s="1"/>
  <c r="J102" i="1"/>
  <c r="A102" i="1" s="1"/>
  <c r="J101" i="1"/>
  <c r="A101" i="1" s="1"/>
  <c r="J100" i="1"/>
  <c r="A100" i="1" s="1"/>
  <c r="J99" i="1"/>
  <c r="A99" i="1" s="1"/>
  <c r="J98" i="1"/>
  <c r="A98" i="1" s="1"/>
  <c r="J97" i="1"/>
  <c r="A97" i="1" s="1"/>
  <c r="J96" i="1"/>
  <c r="A96" i="1" s="1"/>
  <c r="J95" i="1"/>
  <c r="A95" i="1" s="1"/>
  <c r="J94" i="1"/>
  <c r="A94" i="1" s="1"/>
  <c r="J90" i="1"/>
  <c r="A90" i="1" s="1"/>
  <c r="J89" i="1"/>
  <c r="A89" i="1" s="1"/>
  <c r="J88" i="1"/>
  <c r="A88" i="1" s="1"/>
  <c r="K87" i="1"/>
  <c r="J87" i="1" s="1"/>
  <c r="A87" i="1" s="1"/>
  <c r="J86" i="1"/>
  <c r="A86" i="1" s="1"/>
  <c r="M85" i="1"/>
  <c r="M84" i="1" s="1"/>
  <c r="M83" i="1" s="1"/>
  <c r="L85" i="1"/>
  <c r="L84" i="1" s="1"/>
  <c r="L83" i="1" s="1"/>
  <c r="J82" i="1"/>
  <c r="A82" i="1" s="1"/>
  <c r="J81" i="1"/>
  <c r="A81" i="1" s="1"/>
  <c r="M80" i="1"/>
  <c r="L80" i="1"/>
  <c r="K80" i="1"/>
  <c r="J78" i="1"/>
  <c r="A78" i="1" s="1"/>
  <c r="J77" i="1"/>
  <c r="A77" i="1" s="1"/>
  <c r="J76" i="1"/>
  <c r="A76" i="1" s="1"/>
  <c r="J75" i="1"/>
  <c r="A75" i="1" s="1"/>
  <c r="J74" i="1"/>
  <c r="A74" i="1" s="1"/>
  <c r="J73" i="1"/>
  <c r="A73" i="1" s="1"/>
  <c r="M72" i="1"/>
  <c r="M71" i="1" s="1"/>
  <c r="M70" i="1" s="1"/>
  <c r="L72" i="1"/>
  <c r="L71" i="1" s="1"/>
  <c r="L70" i="1" s="1"/>
  <c r="K72" i="1"/>
  <c r="K71" i="1" s="1"/>
  <c r="J69" i="1"/>
  <c r="A69" i="1" s="1"/>
  <c r="J66" i="1"/>
  <c r="A66" i="1" s="1"/>
  <c r="M64" i="1"/>
  <c r="J59" i="1"/>
  <c r="A59" i="1" s="1"/>
  <c r="M58" i="1"/>
  <c r="M57" i="1" s="1"/>
  <c r="L58" i="1"/>
  <c r="L57" i="1" s="1"/>
  <c r="K58" i="1"/>
  <c r="J55" i="1"/>
  <c r="A55" i="1" s="1"/>
  <c r="J54" i="1"/>
  <c r="A54" i="1" s="1"/>
  <c r="J53" i="1"/>
  <c r="A53" i="1" s="1"/>
  <c r="J52" i="1"/>
  <c r="A52" i="1" s="1"/>
  <c r="J51" i="1"/>
  <c r="A51" i="1" s="1"/>
  <c r="J50" i="1"/>
  <c r="A50" i="1" s="1"/>
  <c r="M49" i="1"/>
  <c r="M48" i="1" s="1"/>
  <c r="M47" i="1" s="1"/>
  <c r="L49" i="1"/>
  <c r="L48" i="1" s="1"/>
  <c r="L47" i="1" s="1"/>
  <c r="J46" i="1"/>
  <c r="A46" i="1" s="1"/>
  <c r="M45" i="1"/>
  <c r="M44" i="1" s="1"/>
  <c r="M43" i="1" s="1"/>
  <c r="L45" i="1"/>
  <c r="L44" i="1" s="1"/>
  <c r="L43" i="1" s="1"/>
  <c r="K45" i="1"/>
  <c r="K44" i="1" s="1"/>
  <c r="J42" i="1"/>
  <c r="A42" i="1" s="1"/>
  <c r="M41" i="1"/>
  <c r="M40" i="1" s="1"/>
  <c r="M39" i="1" s="1"/>
  <c r="L41" i="1"/>
  <c r="L40" i="1" s="1"/>
  <c r="L39" i="1" s="1"/>
  <c r="K41" i="1"/>
  <c r="K40" i="1" s="1"/>
  <c r="A38" i="1"/>
  <c r="M37" i="1"/>
  <c r="M36" i="1" s="1"/>
  <c r="M35" i="1" s="1"/>
  <c r="L37" i="1"/>
  <c r="L36" i="1" s="1"/>
  <c r="L35" i="1" s="1"/>
  <c r="K37" i="1"/>
  <c r="K36" i="1" s="1"/>
  <c r="A33" i="1"/>
  <c r="J32" i="1"/>
  <c r="A32" i="1" s="1"/>
  <c r="J31" i="1"/>
  <c r="A31" i="1" s="1"/>
  <c r="J30" i="1"/>
  <c r="A30" i="1" s="1"/>
  <c r="M26" i="1"/>
  <c r="J29" i="1"/>
  <c r="A29" i="1" s="1"/>
  <c r="A25" i="1"/>
  <c r="A24" i="1"/>
  <c r="A23" i="1"/>
  <c r="A22" i="1"/>
  <c r="M21" i="1"/>
  <c r="M16" i="1" s="1"/>
  <c r="M15" i="1" s="1"/>
  <c r="L21" i="1"/>
  <c r="A20" i="1"/>
  <c r="A19" i="1"/>
  <c r="J18" i="1"/>
  <c r="A18" i="1" s="1"/>
  <c r="J17" i="1"/>
  <c r="A17" i="1" s="1"/>
  <c r="K16" i="1"/>
  <c r="K15" i="1" s="1"/>
  <c r="J14" i="1"/>
  <c r="A14" i="1" s="1"/>
  <c r="J13" i="1"/>
  <c r="A13" i="1" s="1"/>
  <c r="J12" i="1"/>
  <c r="A12" i="1" s="1"/>
  <c r="C12" i="1"/>
  <c r="J11" i="1"/>
  <c r="A11" i="1" s="1"/>
  <c r="M10" i="1"/>
  <c r="M9" i="1" s="1"/>
  <c r="L10" i="1"/>
  <c r="L9" i="1" s="1"/>
  <c r="K9" i="1"/>
  <c r="K93" i="1" l="1"/>
  <c r="K92" i="1" s="1"/>
  <c r="M56" i="1"/>
  <c r="J333" i="1"/>
  <c r="A333" i="1" s="1"/>
  <c r="L309" i="1"/>
  <c r="L308" i="1" s="1"/>
  <c r="L122" i="1"/>
  <c r="J122" i="1" s="1"/>
  <c r="A122" i="1" s="1"/>
  <c r="J117" i="1"/>
  <c r="A117" i="1" s="1"/>
  <c r="J139" i="1"/>
  <c r="A139" i="1" s="1"/>
  <c r="K170" i="1"/>
  <c r="K169" i="1" s="1"/>
  <c r="J169" i="1" s="1"/>
  <c r="A169" i="1" s="1"/>
  <c r="J134" i="1"/>
  <c r="A134" i="1" s="1"/>
  <c r="L239" i="1"/>
  <c r="L238" i="1" s="1"/>
  <c r="L237" i="1" s="1"/>
  <c r="K309" i="1"/>
  <c r="M309" i="1"/>
  <c r="M308" i="1" s="1"/>
  <c r="L16" i="1"/>
  <c r="L15" i="1" s="1"/>
  <c r="J15" i="1" s="1"/>
  <c r="A15" i="1" s="1"/>
  <c r="J21" i="1"/>
  <c r="A21" i="1" s="1"/>
  <c r="K132" i="1"/>
  <c r="K131" i="1" s="1"/>
  <c r="L141" i="1"/>
  <c r="L140" i="1" s="1"/>
  <c r="K49" i="1"/>
  <c r="K48" i="1" s="1"/>
  <c r="K47" i="1" s="1"/>
  <c r="J47" i="1" s="1"/>
  <c r="A47" i="1" s="1"/>
  <c r="K85" i="1"/>
  <c r="K84" i="1" s="1"/>
  <c r="K83" i="1" s="1"/>
  <c r="J83" i="1" s="1"/>
  <c r="A83" i="1" s="1"/>
  <c r="J312" i="1"/>
  <c r="A312" i="1" s="1"/>
  <c r="J119" i="1"/>
  <c r="A119" i="1" s="1"/>
  <c r="J319" i="1"/>
  <c r="M125" i="1"/>
  <c r="J247" i="1"/>
  <c r="A247" i="1" s="1"/>
  <c r="J80" i="1"/>
  <c r="A80" i="1" s="1"/>
  <c r="J206" i="1"/>
  <c r="A206" i="1" s="1"/>
  <c r="J231" i="1"/>
  <c r="A231" i="1" s="1"/>
  <c r="M260" i="1"/>
  <c r="M259" i="1" s="1"/>
  <c r="J207" i="1"/>
  <c r="A207" i="1" s="1"/>
  <c r="J127" i="1"/>
  <c r="A127" i="1" s="1"/>
  <c r="J158" i="1"/>
  <c r="A158" i="1" s="1"/>
  <c r="J167" i="1"/>
  <c r="A167" i="1" s="1"/>
  <c r="L131" i="1"/>
  <c r="J146" i="1"/>
  <c r="A146" i="1" s="1"/>
  <c r="J155" i="1"/>
  <c r="A155" i="1" s="1"/>
  <c r="L181" i="1"/>
  <c r="L180" i="1" s="1"/>
  <c r="L179" i="1" s="1"/>
  <c r="J192" i="1"/>
  <c r="A192" i="1" s="1"/>
  <c r="J296" i="1"/>
  <c r="A296" i="1" s="1"/>
  <c r="J188" i="1"/>
  <c r="A188" i="1" s="1"/>
  <c r="J249" i="1"/>
  <c r="A249" i="1" s="1"/>
  <c r="J286" i="1"/>
  <c r="A286" i="1" s="1"/>
  <c r="M8" i="1"/>
  <c r="J159" i="1"/>
  <c r="A159" i="1" s="1"/>
  <c r="J215" i="1"/>
  <c r="A215" i="1" s="1"/>
  <c r="K225" i="1"/>
  <c r="J225" i="1" s="1"/>
  <c r="A225" i="1" s="1"/>
  <c r="J235" i="1"/>
  <c r="A235" i="1" s="1"/>
  <c r="K126" i="1"/>
  <c r="J126" i="1" s="1"/>
  <c r="A126" i="1" s="1"/>
  <c r="J203" i="1"/>
  <c r="A203" i="1" s="1"/>
  <c r="A220" i="1"/>
  <c r="J273" i="1"/>
  <c r="A273" i="1" s="1"/>
  <c r="J136" i="1"/>
  <c r="A136" i="1" s="1"/>
  <c r="K157" i="1"/>
  <c r="J157" i="1" s="1"/>
  <c r="A157" i="1" s="1"/>
  <c r="J204" i="1"/>
  <c r="A204" i="1" s="1"/>
  <c r="J295" i="1"/>
  <c r="A295" i="1" s="1"/>
  <c r="J41" i="1"/>
  <c r="A41" i="1" s="1"/>
  <c r="J58" i="1"/>
  <c r="A58" i="1" s="1"/>
  <c r="J44" i="1"/>
  <c r="A44" i="1" s="1"/>
  <c r="K43" i="1"/>
  <c r="J43" i="1" s="1"/>
  <c r="A43" i="1" s="1"/>
  <c r="K26" i="1"/>
  <c r="J36" i="1"/>
  <c r="A36" i="1" s="1"/>
  <c r="K35" i="1"/>
  <c r="J35" i="1" s="1"/>
  <c r="A35" i="1" s="1"/>
  <c r="J71" i="1"/>
  <c r="A71" i="1" s="1"/>
  <c r="J9" i="1"/>
  <c r="A9" i="1" s="1"/>
  <c r="K8" i="1"/>
  <c r="J40" i="1"/>
  <c r="A40" i="1" s="1"/>
  <c r="K39" i="1"/>
  <c r="J39" i="1" s="1"/>
  <c r="A39" i="1" s="1"/>
  <c r="K57" i="1"/>
  <c r="J57" i="1" s="1"/>
  <c r="A57" i="1" s="1"/>
  <c r="J65" i="1"/>
  <c r="J142" i="1"/>
  <c r="A142" i="1" s="1"/>
  <c r="K141" i="1"/>
  <c r="J151" i="1"/>
  <c r="A151" i="1" s="1"/>
  <c r="K150" i="1"/>
  <c r="J154" i="1"/>
  <c r="A154" i="1" s="1"/>
  <c r="K153" i="1"/>
  <c r="J153" i="1" s="1"/>
  <c r="A153" i="1" s="1"/>
  <c r="M159" i="1"/>
  <c r="J10" i="1"/>
  <c r="A10" i="1" s="1"/>
  <c r="J37" i="1"/>
  <c r="A37" i="1" s="1"/>
  <c r="J45" i="1"/>
  <c r="A45" i="1" s="1"/>
  <c r="J72" i="1"/>
  <c r="A72" i="1" s="1"/>
  <c r="K79" i="1"/>
  <c r="J79" i="1" s="1"/>
  <c r="A79" i="1" s="1"/>
  <c r="J184" i="1"/>
  <c r="A184" i="1" s="1"/>
  <c r="J166" i="1"/>
  <c r="A166" i="1" s="1"/>
  <c r="K144" i="1"/>
  <c r="J144" i="1" s="1"/>
  <c r="A144" i="1" s="1"/>
  <c r="J145" i="1"/>
  <c r="A145" i="1" s="1"/>
  <c r="L165" i="1"/>
  <c r="M165" i="1"/>
  <c r="K210" i="1"/>
  <c r="L211" i="1"/>
  <c r="L210" i="1" s="1"/>
  <c r="L209" i="1" s="1"/>
  <c r="J230" i="1"/>
  <c r="A230" i="1" s="1"/>
  <c r="J245" i="1"/>
  <c r="A245" i="1" s="1"/>
  <c r="J248" i="1"/>
  <c r="A248" i="1" s="1"/>
  <c r="K219" i="1"/>
  <c r="K243" i="1"/>
  <c r="J243" i="1" s="1"/>
  <c r="A243" i="1" s="1"/>
  <c r="J244" i="1"/>
  <c r="A244" i="1" s="1"/>
  <c r="J253" i="1"/>
  <c r="A253" i="1" s="1"/>
  <c r="J277" i="1"/>
  <c r="A277" i="1" s="1"/>
  <c r="L260" i="1"/>
  <c r="L259" i="1" s="1"/>
  <c r="J301" i="1"/>
  <c r="A301" i="1" s="1"/>
  <c r="K300" i="1"/>
  <c r="J216" i="1"/>
  <c r="A216" i="1" s="1"/>
  <c r="A224" i="1"/>
  <c r="J234" i="1"/>
  <c r="A234" i="1" s="1"/>
  <c r="K233" i="1"/>
  <c r="J233" i="1" s="1"/>
  <c r="A233" i="1" s="1"/>
  <c r="K238" i="1"/>
  <c r="K251" i="1"/>
  <c r="J251" i="1" s="1"/>
  <c r="A251" i="1" s="1"/>
  <c r="J252" i="1"/>
  <c r="A252" i="1" s="1"/>
  <c r="J287" i="1"/>
  <c r="A287" i="1" s="1"/>
  <c r="J341" i="1"/>
  <c r="A341" i="1" s="1"/>
  <c r="J214" i="1"/>
  <c r="A214" i="1" s="1"/>
  <c r="J229" i="1"/>
  <c r="A229" i="1" s="1"/>
  <c r="J342" i="1"/>
  <c r="A342" i="1" s="1"/>
  <c r="J93" i="1" l="1"/>
  <c r="A93" i="1" s="1"/>
  <c r="L258" i="1"/>
  <c r="K91" i="1"/>
  <c r="J91" i="1" s="1"/>
  <c r="A91" i="1" s="1"/>
  <c r="J92" i="1"/>
  <c r="A92" i="1" s="1"/>
  <c r="M258" i="1"/>
  <c r="M345" i="1" s="1"/>
  <c r="M399" i="1" s="1"/>
  <c r="J137" i="1"/>
  <c r="A137" i="1" s="1"/>
  <c r="K56" i="1"/>
  <c r="J239" i="1"/>
  <c r="A239" i="1" s="1"/>
  <c r="K165" i="1"/>
  <c r="J165" i="1" s="1"/>
  <c r="A165" i="1" s="1"/>
  <c r="J170" i="1"/>
  <c r="A170" i="1" s="1"/>
  <c r="J309" i="1"/>
  <c r="A309" i="1" s="1"/>
  <c r="K308" i="1"/>
  <c r="J308" i="1" s="1"/>
  <c r="A308" i="1" s="1"/>
  <c r="J16" i="1"/>
  <c r="A16" i="1" s="1"/>
  <c r="L8" i="1"/>
  <c r="J49" i="1"/>
  <c r="A49" i="1" s="1"/>
  <c r="L125" i="1"/>
  <c r="J85" i="1"/>
  <c r="A85" i="1" s="1"/>
  <c r="J132" i="1"/>
  <c r="A132" i="1" s="1"/>
  <c r="J84" i="1"/>
  <c r="A84" i="1" s="1"/>
  <c r="J131" i="1"/>
  <c r="A131" i="1" s="1"/>
  <c r="J48" i="1"/>
  <c r="A48" i="1" s="1"/>
  <c r="J211" i="1"/>
  <c r="A211" i="1" s="1"/>
  <c r="A65" i="1"/>
  <c r="L64" i="1"/>
  <c r="L56" i="1" s="1"/>
  <c r="J300" i="1"/>
  <c r="A300" i="1" s="1"/>
  <c r="K299" i="1"/>
  <c r="J259" i="1"/>
  <c r="A259" i="1" s="1"/>
  <c r="J210" i="1"/>
  <c r="A210" i="1" s="1"/>
  <c r="K209" i="1"/>
  <c r="J209" i="1" s="1"/>
  <c r="A209" i="1" s="1"/>
  <c r="L27" i="1"/>
  <c r="L26" i="1" s="1"/>
  <c r="J28" i="1"/>
  <c r="A28" i="1" s="1"/>
  <c r="K237" i="1"/>
  <c r="J237" i="1" s="1"/>
  <c r="A237" i="1" s="1"/>
  <c r="J238" i="1"/>
  <c r="A238" i="1" s="1"/>
  <c r="J260" i="1"/>
  <c r="A260" i="1" s="1"/>
  <c r="K218" i="1"/>
  <c r="J218" i="1" s="1"/>
  <c r="A218" i="1" s="1"/>
  <c r="J219" i="1"/>
  <c r="A219" i="1" s="1"/>
  <c r="K149" i="1"/>
  <c r="J149" i="1" s="1"/>
  <c r="A149" i="1" s="1"/>
  <c r="J150" i="1"/>
  <c r="A150" i="1" s="1"/>
  <c r="K70" i="1"/>
  <c r="J70" i="1" s="1"/>
  <c r="A70" i="1" s="1"/>
  <c r="K180" i="1"/>
  <c r="J181" i="1"/>
  <c r="A181" i="1" s="1"/>
  <c r="J141" i="1"/>
  <c r="A141" i="1" s="1"/>
  <c r="K140" i="1"/>
  <c r="K258" i="1" l="1"/>
  <c r="J258" i="1" s="1"/>
  <c r="A258" i="1" s="1"/>
  <c r="L345" i="1"/>
  <c r="L399" i="1" s="1"/>
  <c r="J8" i="1"/>
  <c r="A8" i="1" s="1"/>
  <c r="J299" i="1"/>
  <c r="A299" i="1" s="1"/>
  <c r="J56" i="1"/>
  <c r="A56" i="1" s="1"/>
  <c r="J64" i="1"/>
  <c r="A64" i="1" s="1"/>
  <c r="J140" i="1"/>
  <c r="A140" i="1" s="1"/>
  <c r="K125" i="1"/>
  <c r="J125" i="1" s="1"/>
  <c r="A125" i="1" s="1"/>
  <c r="J180" i="1"/>
  <c r="A180" i="1" s="1"/>
  <c r="K179" i="1"/>
  <c r="J179" i="1" s="1"/>
  <c r="A179" i="1" s="1"/>
  <c r="J27" i="1"/>
  <c r="A27" i="1" s="1"/>
  <c r="K345" i="1" l="1"/>
  <c r="K399" i="1" s="1"/>
  <c r="J26" i="1"/>
  <c r="A26" i="1" s="1"/>
  <c r="J345" i="1" l="1"/>
  <c r="J399" i="1" s="1"/>
  <c r="J418" i="1"/>
  <c r="A345" i="1" l="1"/>
  <c r="J402" i="1"/>
  <c r="J401" i="1" s="1"/>
  <c r="J435" i="1" l="1"/>
  <c r="J434" i="1"/>
  <c r="J433" i="1"/>
  <c r="J432" i="1"/>
  <c r="J431" i="1"/>
  <c r="J430" i="1"/>
  <c r="H407" i="1"/>
  <c r="M358" i="1" l="1"/>
  <c r="K358" i="1"/>
  <c r="L358" i="1"/>
  <c r="J384" i="1"/>
  <c r="J383" i="1"/>
  <c r="J391" i="1"/>
  <c r="J359" i="1"/>
  <c r="J390" i="1"/>
  <c r="J389" i="1"/>
  <c r="J388" i="1"/>
  <c r="J387" i="1"/>
  <c r="J386" i="1"/>
  <c r="J385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8" i="1" l="1"/>
  <c r="L355" i="1" l="1"/>
  <c r="L357" i="1" s="1"/>
  <c r="H363" i="1"/>
  <c r="L401" i="1"/>
  <c r="M355" i="1"/>
  <c r="M357" i="1" s="1"/>
  <c r="M401" i="1"/>
  <c r="K355" i="1" l="1"/>
  <c r="K357" i="1" s="1"/>
  <c r="J355" i="1" l="1"/>
  <c r="J35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120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L12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K183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4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9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29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305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305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344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344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</commentList>
</comments>
</file>

<file path=xl/sharedStrings.xml><?xml version="1.0" encoding="utf-8"?>
<sst xmlns="http://schemas.openxmlformats.org/spreadsheetml/2006/main" count="1126" uniqueCount="385">
  <si>
    <t>Загальний фонд</t>
  </si>
  <si>
    <t>Спеціальний фонд</t>
  </si>
  <si>
    <t>Усього:</t>
  </si>
  <si>
    <t>грн</t>
  </si>
  <si>
    <t>відхилення від попереднього рішення</t>
  </si>
  <si>
    <t>п</t>
  </si>
  <si>
    <t>10</t>
  </si>
  <si>
    <t>змагання</t>
  </si>
  <si>
    <t>стипендії кращим спортсменам</t>
  </si>
  <si>
    <t>попередне рішення</t>
  </si>
  <si>
    <t>у тому числі за рахунок субвенції з обласного бюджету</t>
  </si>
  <si>
    <t>сумма изменений</t>
  </si>
  <si>
    <t>у тому числі за рахунок субвенції з державного бюджету місцевим бюджетам</t>
  </si>
  <si>
    <t>0829</t>
  </si>
  <si>
    <t>0210000</t>
  </si>
  <si>
    <t>0200000</t>
  </si>
  <si>
    <t>0800000</t>
  </si>
  <si>
    <t>0810000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</si>
  <si>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</si>
  <si>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</si>
  <si>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</si>
  <si>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</si>
  <si>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</si>
  <si>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0813035</t>
  </si>
  <si>
    <t>3035</t>
  </si>
  <si>
    <t>0813160</t>
  </si>
  <si>
    <t>3160</t>
  </si>
  <si>
    <t>0212111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</si>
  <si>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</si>
  <si>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</si>
  <si>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0212010</t>
  </si>
  <si>
    <t>5011</t>
  </si>
  <si>
    <t>5031</t>
  </si>
  <si>
    <t>0215061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</si>
  <si>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</si>
  <si>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</si>
  <si>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5062</t>
  </si>
  <si>
    <t>0213112</t>
  </si>
  <si>
    <t>3112</t>
  </si>
  <si>
    <t>0213121</t>
  </si>
  <si>
    <t>3121</t>
  </si>
  <si>
    <t>0600000</t>
  </si>
  <si>
    <t>0610000</t>
  </si>
  <si>
    <t>0611010</t>
  </si>
  <si>
    <t>Надання дошкільної освіти</t>
  </si>
  <si>
    <t>0615031</t>
  </si>
  <si>
    <t>0613140</t>
  </si>
  <si>
    <t>3140</t>
  </si>
  <si>
    <t>1200000</t>
  </si>
  <si>
    <t>1210000</t>
  </si>
  <si>
    <t>1216015</t>
  </si>
  <si>
    <t>6015</t>
  </si>
  <si>
    <t>Забезпечення надійної та безперебійної експлуатації ліфтів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</si>
  <si>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</si>
  <si>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</si>
  <si>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</si>
  <si>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</si>
  <si>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</si>
  <si>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</si>
  <si>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0217670</t>
  </si>
  <si>
    <t>7670</t>
  </si>
  <si>
    <t>Внески до статутного капіталу суб`єктів господарювання</t>
  </si>
  <si>
    <t>0219770</t>
  </si>
  <si>
    <t>9770</t>
  </si>
  <si>
    <t>Інші субвенції з місцевого бюджету</t>
  </si>
  <si>
    <t>1211010</t>
  </si>
  <si>
    <t>1212010</t>
  </si>
  <si>
    <t>1217310</t>
  </si>
  <si>
    <t>7310</t>
  </si>
  <si>
    <t>Будівництво об`єктів житлово-комунального господарства</t>
  </si>
  <si>
    <t>Інші заходи у сфері соціального захисту і соціального забезпечення</t>
  </si>
  <si>
    <t>0726</t>
  </si>
  <si>
    <t>0217322</t>
  </si>
  <si>
    <t>7322</t>
  </si>
  <si>
    <t>Будівництво медичних установ та закладів</t>
  </si>
  <si>
    <t>1210160</t>
  </si>
  <si>
    <t>0160</t>
  </si>
  <si>
    <t>0111</t>
  </si>
  <si>
    <t>Керівництво і управління у відповідній сфері у містах (місті Києві), селищах, селах, об`єднаних територіальних громадах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</si>
  <si>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</si>
  <si>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</si>
  <si>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</si>
  <si>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0210150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</si>
  <si>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</si>
  <si>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</si>
  <si>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0824</t>
  </si>
  <si>
    <t>0217130</t>
  </si>
  <si>
    <t>7130</t>
  </si>
  <si>
    <t>0421</t>
  </si>
  <si>
    <t>Здійснення заходів із землеустрою</t>
  </si>
  <si>
    <t>0212100</t>
  </si>
  <si>
    <t>2100</t>
  </si>
  <si>
    <t>0722</t>
  </si>
  <si>
    <t>Стоматологічна допомога населенню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</si>
  <si>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</si>
  <si>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</si>
  <si>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</si>
  <si>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</si>
  <si>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</si>
  <si>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Проведення навчально-тренувальних зборів і змагань з неолімпійських видів спорту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</si>
  <si>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</si>
  <si>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0960</t>
  </si>
  <si>
    <t>Надання позашкільної освіти позашкільними закладами освіти, заходи із позашкільної роботи з дітьми</t>
  </si>
  <si>
    <t>від 10.06.2019 року №893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</si>
  <si>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</si>
  <si>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0610</t>
  </si>
  <si>
    <t>Інша діяльність пов"язана з експлуатацією об"єктів житлово-комунального господарства</t>
  </si>
  <si>
    <t>1213242</t>
  </si>
  <si>
    <t>0610160</t>
  </si>
  <si>
    <t>1216013</t>
  </si>
  <si>
    <t>6013</t>
  </si>
  <si>
    <t>Забезпечення діяльності водопровідно-каналізаційного господарства</t>
  </si>
  <si>
    <t>1217324</t>
  </si>
  <si>
    <t>7324</t>
  </si>
  <si>
    <t>Будівництво установ та закладів культури</t>
  </si>
  <si>
    <t>1014030</t>
  </si>
  <si>
    <t>4030</t>
  </si>
  <si>
    <t>Забезпечення діяльності бібліотек</t>
  </si>
  <si>
    <t>у тому числі за рахунок субвенції з районного бюджету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</si>
  <si>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</si>
  <si>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мат допом наша219 +обл субв26</t>
  </si>
  <si>
    <t>0620</t>
  </si>
  <si>
    <t>0810</t>
  </si>
  <si>
    <t>0490</t>
  </si>
  <si>
    <t>0443</t>
  </si>
  <si>
    <t>0456</t>
  </si>
  <si>
    <t>0180</t>
  </si>
  <si>
    <t>0910</t>
  </si>
  <si>
    <t>0921</t>
  </si>
  <si>
    <t>1090</t>
  </si>
  <si>
    <t>1040</t>
  </si>
  <si>
    <t>0731</t>
  </si>
  <si>
    <t>Код програмної класифікації видатків та кредитування місцевого бюджету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</si>
  <si>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</si>
  <si>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</si>
  <si>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1000000</t>
  </si>
  <si>
    <t>1010000</t>
  </si>
  <si>
    <t>Утримання та навчально-тренувальна робота комунальних дитячо-юнацьких спортивних шкіл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</si>
  <si>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</si>
  <si>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1010</t>
  </si>
  <si>
    <t>Багатопрофільна стаціонарна медична допомога населенню</t>
  </si>
  <si>
    <t>Підтримка спорту вищих досягнень та організацій, які здійснюють фізкультурно-спортивну діяльність в регіоні</t>
  </si>
  <si>
    <t>2010</t>
  </si>
  <si>
    <t>1070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</si>
  <si>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</si>
  <si>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</si>
  <si>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проверка отклонения</t>
  </si>
  <si>
    <t>02</t>
  </si>
  <si>
    <t>08</t>
  </si>
  <si>
    <t>06</t>
  </si>
  <si>
    <t>12</t>
  </si>
  <si>
    <t>37</t>
  </si>
  <si>
    <t>1217321</t>
  </si>
  <si>
    <t>7321</t>
  </si>
  <si>
    <t>Будівництво освітніх установ та закладів</t>
  </si>
  <si>
    <t>0213242</t>
  </si>
  <si>
    <t>3242</t>
  </si>
  <si>
    <t>0813242</t>
  </si>
  <si>
    <t>1014081</t>
  </si>
  <si>
    <t>4081</t>
  </si>
  <si>
    <t>Забезпечення діяльності інших закладів в галузі культури і мистецтва</t>
  </si>
  <si>
    <t>0990</t>
  </si>
  <si>
    <t>Інші програми та заходи у сфері освіти</t>
  </si>
  <si>
    <t>4082</t>
  </si>
  <si>
    <t>1014082</t>
  </si>
  <si>
    <t>Інші заходи в галузі культури і мистецтва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</si>
  <si>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</si>
  <si>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</si>
  <si>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Природоохоронні заходи за рахунок цільових фондів</t>
  </si>
  <si>
    <t>0540</t>
  </si>
  <si>
    <t>1216011</t>
  </si>
  <si>
    <t>6011</t>
  </si>
  <si>
    <t>Експлуатація та технічне обслуговування житлового фонду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</si>
  <si>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</si>
  <si>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0640</t>
  </si>
  <si>
    <t>0320</t>
  </si>
  <si>
    <t>у тому числі за рахунок субвенції з державного бюджету</t>
  </si>
  <si>
    <t>1216090</t>
  </si>
  <si>
    <t>6090</t>
  </si>
  <si>
    <t>Інша діяльність у сфері житлово-комунального господарства</t>
  </si>
  <si>
    <t>0810160</t>
  </si>
  <si>
    <t>0218120</t>
  </si>
  <si>
    <t>8120</t>
  </si>
  <si>
    <t>Заходи з організації рятування на водах</t>
  </si>
  <si>
    <t>Програма "Місцеві стимули для медичних працівників КНП "Новомосковській МЦ ПМСД" до 2024 року</t>
  </si>
  <si>
    <t>від 12.11.2019 року № 1058</t>
  </si>
  <si>
    <t>Міська цільова програма "Партиципаторне бюджетування (бюджет участі) у м.Новомосковську на 2019-2022 роки"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</si>
  <si>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</si>
  <si>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</si>
  <si>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(код бюджету)</t>
  </si>
  <si>
    <t>3700000</t>
  </si>
  <si>
    <t>3710000</t>
  </si>
  <si>
    <t>3710160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</si>
  <si>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</si>
  <si>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</si>
  <si>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</si>
  <si>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</si>
  <si>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</si>
  <si>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</si>
  <si>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</si>
  <si>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</si>
  <si>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Програма охорони, збереження та використання об'єктів культурної спадщини на 2021-2025 р.р.</t>
  </si>
  <si>
    <t>Програма реалізації стратегії національно-патріотичного виховання в м.Новомосковську на 2021 -2025 роки</t>
  </si>
  <si>
    <t>від 29.05.2020 року № 1263</t>
  </si>
  <si>
    <t>Комплексна Програма розвитку освіти м.Новомосковська на 2021-2025 роки</t>
  </si>
  <si>
    <t>Програма реформування і розвитку житлово-комунального господарства м.Новомосковська на 2021-2025 роки</t>
  </si>
  <si>
    <t>Програма соціального захисту населення міста Новомосковська на 2021 -2025 р.р.</t>
  </si>
  <si>
    <t>у тому числі за виплату муніципальної доплати молодим спеціалістам</t>
  </si>
  <si>
    <t>Утримання та забезпечення діяльності центрів соціальних служб</t>
  </si>
  <si>
    <t>0611021</t>
  </si>
  <si>
    <t>1021</t>
  </si>
  <si>
    <t>Надання загальної середньої освіти закладами загальної середньої освіти</t>
  </si>
  <si>
    <t>0611070</t>
  </si>
  <si>
    <t>0611142</t>
  </si>
  <si>
    <t>0611151</t>
  </si>
  <si>
    <t>Забезпечення діяльності інклюзивно-ресурсних центрів за рахунок коштів місцевого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</si>
  <si>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</si>
  <si>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</si>
  <si>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1211021</t>
  </si>
  <si>
    <t xml:space="preserve"> від 24.12.2020 року № 26</t>
  </si>
  <si>
    <t>Програма "Соціальна підтримка сімей, дітей та молоді у м.Новомосковську на 2021-2025 роки"</t>
  </si>
  <si>
    <t>1015011</t>
  </si>
  <si>
    <t>1015012</t>
  </si>
  <si>
    <t>1015061</t>
  </si>
  <si>
    <t>1015062</t>
  </si>
  <si>
    <r>
      <t xml:space="preserve">Проверка равенства колонок L и M
</t>
    </r>
    <r>
      <rPr>
        <b/>
        <u/>
        <sz val="12"/>
        <color indexed="61"/>
        <rFont val="Times New Roman"/>
        <family val="1"/>
        <charset val="204"/>
      </rPr>
      <t xml:space="preserve">В КОЛОНКЕ </t>
    </r>
    <r>
      <rPr>
        <b/>
        <i/>
        <u/>
        <sz val="12"/>
        <color indexed="61"/>
        <rFont val="Times New Roman"/>
        <family val="1"/>
        <charset val="204"/>
      </rPr>
      <t>Н</t>
    </r>
    <r>
      <rPr>
        <b/>
        <u/>
        <sz val="12"/>
        <color indexed="61"/>
        <rFont val="Times New Roman"/>
        <family val="1"/>
        <charset val="204"/>
      </rPr>
      <t xml:space="preserve"> ДОЛЖНО БЫТЬ </t>
    </r>
    <r>
      <rPr>
        <b/>
        <i/>
        <u/>
        <sz val="12"/>
        <color indexed="61"/>
        <rFont val="Times New Roman"/>
        <family val="1"/>
        <charset val="204"/>
      </rPr>
      <t>0</t>
    </r>
  </si>
  <si>
    <t>0215011</t>
  </si>
  <si>
    <t>у тому числі на виплату муніципальної доплати молодим спеціалістам</t>
  </si>
  <si>
    <t>Начальник фінансового управління</t>
  </si>
  <si>
    <t>Наталія КОВТУНЕНКО</t>
  </si>
  <si>
    <t>0619770</t>
  </si>
  <si>
    <t>3718600</t>
  </si>
  <si>
    <t>8600</t>
  </si>
  <si>
    <t>0170</t>
  </si>
  <si>
    <t>Обслуговування місцевого боргу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</si>
  <si>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</si>
  <si>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</si>
  <si>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</si>
  <si>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0611154</t>
  </si>
  <si>
    <t>0611061</t>
  </si>
  <si>
    <t>у тому числі за рахунок залишку коштів за освітньою субвенцією</t>
  </si>
  <si>
    <t>0611181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</si>
  <si>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</si>
  <si>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</si>
  <si>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у тому числі за рахунок запозичення</t>
  </si>
  <si>
    <t>1011080</t>
  </si>
  <si>
    <t>1080</t>
  </si>
  <si>
    <t>Надання спеціальної освіти мистецькими школами</t>
  </si>
  <si>
    <t>Розроблення схем планування та забудови територій (містобудівної документації)</t>
  </si>
  <si>
    <t>1217325</t>
  </si>
  <si>
    <t>Будівництво1 споруд, установ та закладів фізичної культури і спорту</t>
  </si>
  <si>
    <t>1217130</t>
  </si>
  <si>
    <t>0216083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</si>
  <si>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</si>
  <si>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1216017</t>
  </si>
  <si>
    <t>Інша діяльність, пов'язана з експлуатацією об`єктів житлово-комунального господарства</t>
  </si>
  <si>
    <t>Програма охорони навколишнього природного середовища м.Новомосковська на 2021-2025 роки</t>
  </si>
  <si>
    <t>від 05.11.2021 року № 509</t>
  </si>
  <si>
    <t>Програма децентралізації теплопостачання в місті Новомосковську до 2023 року</t>
  </si>
  <si>
    <t>0218240</t>
  </si>
  <si>
    <t>8240</t>
  </si>
  <si>
    <t>0380</t>
  </si>
  <si>
    <t>Заходи та роботи з територіальної оборони</t>
  </si>
  <si>
    <t>0218110</t>
  </si>
  <si>
    <t>8110</t>
  </si>
  <si>
    <t>Заходи із запобігання та ліквідації надзвичайних ситуацій та наслідків стихійного лиха</t>
  </si>
  <si>
    <t>у тому числі за рахунок залишку субвенції з державного бюджету</t>
  </si>
  <si>
    <t>0813230</t>
  </si>
  <si>
    <t>Видатки, пов’язані з наданням підтримки внутрішньопереміщеним та/або евакуйованим особам у зв’язку із введенням воєнного стану в Україні</t>
  </si>
  <si>
    <t>1217693</t>
  </si>
  <si>
    <t>Інші заходи, пов`язані з економічною діяльністю</t>
  </si>
  <si>
    <t>від 26.10.2022 року № 772</t>
  </si>
  <si>
    <t>Програма створення, утримання та приведення фонду захисних споруд цивільного захисту у готовність до укриття населення на території Новомосковської міської громади на 2022-2027 роки</t>
  </si>
  <si>
    <t>0217330</t>
  </si>
  <si>
    <t>Будівництво інших об`єктів комунальної власності</t>
  </si>
  <si>
    <t>0458200000</t>
  </si>
  <si>
    <t>Програма розвитку та фінансової підтримки комунального некомерційного підприємства "Новомосковська центральна міська лікарня Новомосковської міської ради" на 2023-2025 роки</t>
  </si>
  <si>
    <t>Надання загальної середньої освіти закладами загальної середньої освіти за рахунок коштів місцевого бюджету</t>
  </si>
  <si>
    <t>Програма регулювання чисельності безпритульних тварин у місті Новомосковськ на 2021-2025 роки</t>
  </si>
  <si>
    <t>від 10.09.2021 року №490</t>
  </si>
  <si>
    <t>у тому числі за рахунок дотації з обласного бюджету</t>
  </si>
  <si>
    <t>у тому числі за рахунок дотації з державного бюджету</t>
  </si>
  <si>
    <t xml:space="preserve">від 07.03.2023 року №  885  </t>
  </si>
  <si>
    <t xml:space="preserve">від 10.06.2019 року № 917 зі змінами від 06.08.2021 року №464 </t>
  </si>
  <si>
    <t>від 29.05.2020 року№ 1262 зі змінами від 07.03.2023 року №889</t>
  </si>
  <si>
    <t>від 27.03.2020 року № 1223 зі змінами від 07.03.2023 року № 915</t>
  </si>
  <si>
    <t>від 25.09.2020 року № 1376 зі змінами від 31.08.2022 року №735</t>
  </si>
  <si>
    <t>Цільова комплексна Програма розвитку фізичної культури та спорту в Новомосковській міській територіальній громаді на 2022-2025 роки</t>
  </si>
  <si>
    <t>1218230</t>
  </si>
  <si>
    <t>Інші заходи громадського порядку та безпеки</t>
  </si>
  <si>
    <t>1218110</t>
  </si>
  <si>
    <t>3241</t>
  </si>
  <si>
    <t>Забезпечення діяльності інших закладів у сфері соціального захисту і соціального забезпечення</t>
  </si>
  <si>
    <t>1214060</t>
  </si>
  <si>
    <t>0611141</t>
  </si>
  <si>
    <t>1141</t>
  </si>
  <si>
    <t>Забезпечення діяльності інших закладів у сфері освіти</t>
  </si>
  <si>
    <t>Програма"Управління місцевим боргом бюджету Новомосковської міської територіальної громади на 2023-2028 роки"</t>
  </si>
  <si>
    <t>0213241</t>
  </si>
  <si>
    <t xml:space="preserve">від 08.09.2023 року № 1264 </t>
  </si>
  <si>
    <t>у тому числі за рахунок субвенції з бюджету сільської територіальнлї громади</t>
  </si>
  <si>
    <t>0611160</t>
  </si>
  <si>
    <t>1160</t>
  </si>
  <si>
    <t>Забезпечення діяльності центрів професійного розвитку педагогічних працівників</t>
  </si>
  <si>
    <t>Керуючий справами</t>
  </si>
  <si>
    <t>Яків КЛИМЕНОВ</t>
  </si>
  <si>
    <t xml:space="preserve">від 12.12.2023 року № 1377  </t>
  </si>
  <si>
    <t>Програма "Сприяння діяльності об"єднань співвласників багатоквартирних будинків, житлово- будівельних кооперативів м. Новомосковська на 2024-2028 роки</t>
  </si>
  <si>
    <t>від 04.08.2023 № 356/0/6-22 зі змінами від 14.06.2023 року № 1088</t>
  </si>
  <si>
    <t>від 24.07.2020 року № 1310 зі змінами від 10.09.2021 року №482 та від 08.09.2023 № 1256</t>
  </si>
  <si>
    <t>0218230</t>
  </si>
  <si>
    <t>8230</t>
  </si>
  <si>
    <t>Програма профілактики та лікування стоматологічних захворювань комунальним підприємством "Новомосковська міська стоматологічна поліклініка" Новомосковської міської ради" на 2023-2025 роки</t>
  </si>
  <si>
    <t>1217330</t>
  </si>
  <si>
    <t>Будівництво 1 медичних установ та закладів</t>
  </si>
  <si>
    <t>Міська цільова програма розвитку містобудування та земельних відносин м. Новомосковськ на 2024 - 2028 роки</t>
  </si>
  <si>
    <t>від 15.03.2024 року №1522</t>
  </si>
  <si>
    <t>3100000</t>
  </si>
  <si>
    <t>3110000</t>
  </si>
  <si>
    <t>31</t>
  </si>
  <si>
    <t>3117130</t>
  </si>
  <si>
    <t>3117350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</si>
  <si>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</si>
  <si>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</si>
  <si>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</si>
  <si>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</si>
  <si>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</si>
  <si>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0611291</t>
  </si>
  <si>
    <t>0611292</t>
  </si>
  <si>
    <t>госп</t>
  </si>
  <si>
    <t>бух</t>
  </si>
  <si>
    <t>всього</t>
  </si>
  <si>
    <t>Програма "Безпечне місто" на 2024-2028 роки</t>
  </si>
  <si>
    <t>від 15.03 2024 року № 1507</t>
  </si>
  <si>
    <t>Програма соціальної підтримки ветеранів війни та членів їх сімей, членів сімей загиблих (померлих), зниклих безвісті ветеранів війни, Захисників і Захисниць України на 2024-2026 роки</t>
  </si>
  <si>
    <t>від 09.08.2024 року № 1616</t>
  </si>
  <si>
    <t>0813241</t>
  </si>
  <si>
    <t>Розподіл витрат бюджету Новомосковської міської територіальної громади на реалізацію місцевих / регіональних програм у 2025 році</t>
  </si>
  <si>
    <t xml:space="preserve">від 12.12.2024 року № </t>
  </si>
  <si>
    <t>3116017</t>
  </si>
  <si>
    <t>Програма протидії злочинності, профілактики правопорушень та забезпечення громадського порядку і безпеки на території Новомосковської міської громади на 2025-2027 р.р.</t>
  </si>
  <si>
    <t>від 18.10.2024 року           № 1653</t>
  </si>
  <si>
    <t>Програма "Відшкодування (компенсація) різниці в тарифах на послуги з централізованого водопостачання та водовідведення на 2025 рік"</t>
  </si>
  <si>
    <t xml:space="preserve">Програма "Здоров"я населення м.Новомосковськ на період до 2029 року"
</t>
  </si>
  <si>
    <t>від 11.06.2024 року № 1577</t>
  </si>
  <si>
    <t>Міська програма "Соціальна підтримка сімей/осіб, які опинилися в складних життєвих обставинах у м. Самар на 2025-2029 роки"</t>
  </si>
  <si>
    <t>0216071</t>
  </si>
  <si>
    <t>6071</t>
  </si>
  <si>
    <t>Відшкодування різниці між розміром ціни (тарифу) на теплову енергію, у тому числі її виробництво, транспортування та постачання, комунальні послуги, що затверджувалися або погоджувалися рішенням місцевого органу виконавчої влади та органу місцевого самовр</t>
  </si>
  <si>
    <t>від 11.06.2024 року №1580</t>
  </si>
  <si>
    <t>від 26.10.2022 року № 783 зі змінами від 07.03.2023 року №887</t>
  </si>
  <si>
    <t xml:space="preserve">  Програма розвитку цивільного захисту населення і територій від надзвичайних ситуацій техногенного та природного характеру, забезпечення пожежної безпеки Новомосковськаї міської громади на 2023-2027 роки</t>
  </si>
  <si>
    <t>Міська комплексна Програма "Розвиток соціальних послуг з реалізації права дитини на виховання в сім"ї у м.Самар на 2021-2025 роки"</t>
  </si>
  <si>
    <t>Програма "Фінансова підтримка комунальних підприємств  Самарівської міської ради на 2025-2030 роки"</t>
  </si>
  <si>
    <t xml:space="preserve">Програма соціально-економічного та культурного розвитку міста Самар на 2025 рік </t>
  </si>
  <si>
    <t>1216091</t>
  </si>
  <si>
    <t>6091</t>
  </si>
  <si>
    <t>Будівництво1 об`єктів житлово-комунального господарства</t>
  </si>
  <si>
    <t>від 10.09.2021 року №478 зі змінами від 12.12.2024 року №1775</t>
  </si>
  <si>
    <t xml:space="preserve">від 12.12.2024 року №1772 </t>
  </si>
  <si>
    <t>від 12.12.2024 року № 1710</t>
  </si>
  <si>
    <t>від 12.12.2024 року № 1709</t>
  </si>
  <si>
    <t>Розвиток здібностей у дітей та молоді з фізичної культури та спорту комунальними дитячо- юнацькими спортивними школами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</si>
  <si>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</si>
  <si>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проверка отклонения (повинно бути "0")</t>
  </si>
  <si>
    <t>Міський голова</t>
  </si>
  <si>
    <t>Сергій РЄЗНІК</t>
  </si>
  <si>
    <t>0213114</t>
  </si>
  <si>
    <t>Забезпечення умов для догляду та виховання дітей і молоді в дитячих будинках сімейного типу, прийомних сім’ях та сім’ях патронатних вихователів</t>
  </si>
  <si>
    <t>Виконавчий комітет  Самарівської міської ради</t>
  </si>
  <si>
    <t>Управління соціального захисту населення Самарівської міської ради</t>
  </si>
  <si>
    <t>Управління  культури, молоді, спорту та туризму   Самарівської міської ради</t>
  </si>
  <si>
    <t>Управління освіти Самарівської міської ради</t>
  </si>
  <si>
    <t>Управління житлово-комунального господарства та капітального будівництва Самарівської міської ради</t>
  </si>
  <si>
    <t>Виконавчий комітет Самарівської міської ради</t>
  </si>
  <si>
    <t>Фінансове управління Самарівської міської ради</t>
  </si>
  <si>
    <t>Управління по роботі з активами Самарівської міської ради</t>
  </si>
  <si>
    <t>Фінансове управління виконавчого комітету Самарівської міської ради</t>
  </si>
  <si>
    <t>0611300</t>
  </si>
  <si>
    <t>Будівництво інших об"єктів комунальної власності</t>
  </si>
  <si>
    <t>0212170</t>
  </si>
  <si>
    <t>2170</t>
  </si>
  <si>
    <t>Будівництво закладів охорони здоров`я</t>
  </si>
  <si>
    <t>1216014</t>
  </si>
  <si>
    <t>6014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</si>
</sst>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г_р_н_._-;\-* #,##0.00\ _г_р_н_._-;_-* &quot;-&quot;??\ _г_р_н_._-;_-@_-"/>
  </numFmts>
  <fonts count="53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9"/>
      <name val="Bookman Old Style"/>
      <family val="1"/>
      <charset val="204"/>
    </font>
    <font>
      <b/>
      <sz val="9"/>
      <name val="Bookman Old Style"/>
      <family val="1"/>
      <charset val="204"/>
    </font>
    <font>
      <b/>
      <sz val="12"/>
      <name val="Bookman Old Style"/>
      <family val="1"/>
      <charset val="204"/>
    </font>
    <font>
      <sz val="12"/>
      <name val="Bookman Old Style"/>
      <family val="1"/>
      <charset val="204"/>
    </font>
    <font>
      <b/>
      <sz val="12"/>
      <color indexed="10"/>
      <name val="Bookman Old Style"/>
      <family val="1"/>
      <charset val="204"/>
    </font>
    <font>
      <b/>
      <sz val="14"/>
      <name val="Bookman Old Style"/>
      <family val="1"/>
      <charset val="204"/>
    </font>
    <font>
      <sz val="14"/>
      <name val="Bookman Old Style"/>
      <family val="1"/>
      <charset val="204"/>
    </font>
    <font>
      <b/>
      <i/>
      <sz val="14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12"/>
      <color indexed="10"/>
      <name val="Bookman Old Style"/>
      <family val="1"/>
      <charset val="204"/>
    </font>
    <font>
      <b/>
      <sz val="12"/>
      <color indexed="30"/>
      <name val="Bookman Old Style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b/>
      <sz val="12"/>
      <color indexed="14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61"/>
      <name val="Times New Roman"/>
      <family val="1"/>
      <charset val="204"/>
    </font>
    <font>
      <b/>
      <u/>
      <sz val="12"/>
      <color indexed="61"/>
      <name val="Times New Roman"/>
      <family val="1"/>
      <charset val="204"/>
    </font>
    <font>
      <b/>
      <i/>
      <u/>
      <sz val="12"/>
      <color indexed="61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name val="Arial"/>
      <family val="2"/>
      <charset val="204"/>
    </font>
    <font>
      <sz val="11"/>
      <name val="Bookman Old Style"/>
      <family val="1"/>
      <charset val="204"/>
    </font>
    <font>
      <sz val="10"/>
      <name val="Bookman Old Style"/>
      <family val="1"/>
      <charset val="204"/>
    </font>
    <font>
      <b/>
      <sz val="10"/>
      <name val="Bookman Old Style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name val="Bookman Old Style"/>
      <family val="1"/>
      <charset val="204"/>
    </font>
    <font>
      <i/>
      <sz val="12"/>
      <name val="Times New Roman"/>
      <family val="1"/>
      <charset val="204"/>
    </font>
    <font>
      <i/>
      <sz val="12"/>
      <name val="Bookman Old Style"/>
      <family val="1"/>
      <charset val="204"/>
    </font>
    <font>
      <b/>
      <sz val="11"/>
      <name val="Bookman Old Style"/>
      <family val="1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460">
    <xf numFmtId="0" fontId="0" fillId="0" borderId="0" xfId="0"/>
    <xf numFmtId="49" fontId="7" fillId="0" borderId="0" xfId="0" applyNumberFormat="1" applyFont="1" applyFill="1" applyAlignment="1">
      <alignment vertical="top" wrapText="1"/>
    </xf>
    <xf numFmtId="0" fontId="8" fillId="0" borderId="0" xfId="0" applyFont="1" applyFill="1"/>
    <xf numFmtId="4" fontId="8" fillId="0" borderId="0" xfId="0" applyNumberFormat="1" applyFont="1" applyFill="1"/>
    <xf numFmtId="49" fontId="6" fillId="0" borderId="0" xfId="0" applyNumberFormat="1" applyFont="1" applyFill="1" applyAlignment="1">
      <alignment vertical="top"/>
    </xf>
    <xf numFmtId="49" fontId="6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vertical="top"/>
    </xf>
    <xf numFmtId="49" fontId="9" fillId="0" borderId="0" xfId="0" applyNumberFormat="1" applyFont="1" applyFill="1" applyAlignment="1">
      <alignment vertical="top"/>
    </xf>
    <xf numFmtId="49" fontId="8" fillId="0" borderId="0" xfId="0" applyNumberFormat="1" applyFont="1" applyFill="1" applyAlignment="1">
      <alignment vertical="top"/>
    </xf>
    <xf numFmtId="2" fontId="10" fillId="0" borderId="0" xfId="0" applyNumberFormat="1" applyFont="1" applyFill="1" applyAlignment="1">
      <alignment vertical="top" wrapText="1"/>
    </xf>
    <xf numFmtId="49" fontId="10" fillId="0" borderId="0" xfId="0" applyNumberFormat="1" applyFont="1" applyFill="1" applyAlignment="1">
      <alignment vertical="top" wrapText="1"/>
    </xf>
    <xf numFmtId="4" fontId="10" fillId="0" borderId="4" xfId="0" applyNumberFormat="1" applyFont="1" applyFill="1" applyBorder="1" applyAlignment="1">
      <alignment horizontal="right" vertical="top" wrapText="1"/>
    </xf>
    <xf numFmtId="0" fontId="11" fillId="0" borderId="0" xfId="0" applyFont="1" applyFill="1"/>
    <xf numFmtId="4" fontId="13" fillId="0" borderId="6" xfId="0" applyNumberFormat="1" applyFont="1" applyFill="1" applyBorder="1" applyAlignment="1">
      <alignment horizontal="right" vertical="top" wrapText="1"/>
    </xf>
    <xf numFmtId="4" fontId="11" fillId="0" borderId="8" xfId="0" applyNumberFormat="1" applyFont="1" applyFill="1" applyBorder="1" applyAlignment="1">
      <alignment horizontal="right" vertical="top" wrapText="1"/>
    </xf>
    <xf numFmtId="2" fontId="11" fillId="0" borderId="6" xfId="0" applyNumberFormat="1" applyFont="1" applyFill="1" applyBorder="1" applyAlignment="1">
      <alignment horizontal="right" vertical="top" wrapText="1"/>
    </xf>
    <xf numFmtId="4" fontId="11" fillId="0" borderId="6" xfId="0" applyNumberFormat="1" applyFont="1" applyFill="1" applyBorder="1" applyAlignment="1">
      <alignment horizontal="right" vertical="top" wrapText="1"/>
    </xf>
    <xf numFmtId="2" fontId="11" fillId="0" borderId="9" xfId="0" applyNumberFormat="1" applyFont="1" applyFill="1" applyBorder="1" applyAlignment="1">
      <alignment horizontal="right" vertical="top" wrapText="1"/>
    </xf>
    <xf numFmtId="4" fontId="11" fillId="0" borderId="9" xfId="0" applyNumberFormat="1" applyFont="1" applyFill="1" applyBorder="1" applyAlignment="1">
      <alignment horizontal="right" vertical="top" wrapText="1"/>
    </xf>
    <xf numFmtId="0" fontId="10" fillId="0" borderId="0" xfId="0" applyFont="1" applyFill="1"/>
    <xf numFmtId="4" fontId="11" fillId="0" borderId="16" xfId="0" applyNumberFormat="1" applyFont="1" applyFill="1" applyBorder="1" applyAlignment="1">
      <alignment horizontal="right" vertical="top" wrapText="1"/>
    </xf>
    <xf numFmtId="4" fontId="12" fillId="0" borderId="6" xfId="0" applyNumberFormat="1" applyFont="1" applyFill="1" applyBorder="1" applyAlignment="1">
      <alignment horizontal="right" vertical="top" wrapText="1"/>
    </xf>
    <xf numFmtId="49" fontId="14" fillId="0" borderId="0" xfId="0" applyNumberFormat="1" applyFont="1" applyFill="1" applyAlignment="1">
      <alignment vertical="top"/>
    </xf>
    <xf numFmtId="49" fontId="15" fillId="0" borderId="0" xfId="0" applyNumberFormat="1" applyFont="1" applyFill="1" applyAlignment="1">
      <alignment vertical="top"/>
    </xf>
    <xf numFmtId="2" fontId="13" fillId="0" borderId="16" xfId="0" applyNumberFormat="1" applyFont="1" applyFill="1" applyBorder="1" applyAlignment="1">
      <alignment horizontal="right" vertical="top" wrapText="1"/>
    </xf>
    <xf numFmtId="4" fontId="13" fillId="0" borderId="16" xfId="0" applyNumberFormat="1" applyFont="1" applyFill="1" applyBorder="1" applyAlignment="1">
      <alignment horizontal="right" vertical="top" wrapText="1"/>
    </xf>
    <xf numFmtId="0" fontId="13" fillId="0" borderId="0" xfId="0" applyFont="1" applyFill="1"/>
    <xf numFmtId="4" fontId="12" fillId="0" borderId="9" xfId="0" applyNumberFormat="1" applyFont="1" applyFill="1" applyBorder="1" applyAlignment="1">
      <alignment horizontal="right" vertical="top" wrapText="1"/>
    </xf>
    <xf numFmtId="4" fontId="13" fillId="0" borderId="9" xfId="0" applyNumberFormat="1" applyFont="1" applyFill="1" applyBorder="1" applyAlignment="1">
      <alignment horizontal="right" vertical="top" wrapText="1"/>
    </xf>
    <xf numFmtId="4" fontId="12" fillId="0" borderId="20" xfId="0" applyNumberFormat="1" applyFont="1" applyFill="1" applyBorder="1" applyAlignment="1">
      <alignment horizontal="right" vertical="top" wrapText="1"/>
    </xf>
    <xf numFmtId="4" fontId="13" fillId="0" borderId="11" xfId="0" applyNumberFormat="1" applyFont="1" applyFill="1" applyBorder="1" applyAlignment="1">
      <alignment horizontal="right" vertical="top" wrapText="1"/>
    </xf>
    <xf numFmtId="49" fontId="12" fillId="0" borderId="0" xfId="0" applyNumberFormat="1" applyFont="1" applyFill="1" applyAlignment="1">
      <alignment vertical="top" wrapText="1"/>
    </xf>
    <xf numFmtId="49" fontId="11" fillId="0" borderId="0" xfId="0" applyNumberFormat="1" applyFont="1" applyFill="1" applyAlignment="1">
      <alignment vertical="top" wrapText="1"/>
    </xf>
    <xf numFmtId="49" fontId="10" fillId="0" borderId="0" xfId="0" applyNumberFormat="1" applyFont="1" applyFill="1" applyAlignment="1">
      <alignment vertical="top"/>
    </xf>
    <xf numFmtId="49" fontId="12" fillId="0" borderId="0" xfId="0" applyNumberFormat="1" applyFont="1" applyFill="1" applyAlignment="1">
      <alignment vertical="top"/>
    </xf>
    <xf numFmtId="49" fontId="11" fillId="0" borderId="0" xfId="0" applyNumberFormat="1" applyFont="1" applyFill="1" applyAlignment="1">
      <alignment vertical="top"/>
    </xf>
    <xf numFmtId="4" fontId="10" fillId="0" borderId="0" xfId="0" applyNumberFormat="1" applyFont="1" applyFill="1"/>
    <xf numFmtId="0" fontId="8" fillId="0" borderId="0" xfId="0" applyFont="1" applyFill="1" applyAlignment="1">
      <alignment vertical="justify"/>
    </xf>
    <xf numFmtId="0" fontId="10" fillId="0" borderId="0" xfId="0" applyFont="1" applyFill="1" applyAlignment="1">
      <alignment vertical="justify"/>
    </xf>
    <xf numFmtId="0" fontId="11" fillId="0" borderId="6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1" fillId="0" borderId="1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4" fontId="10" fillId="0" borderId="4" xfId="0" applyNumberFormat="1" applyFont="1" applyFill="1" applyBorder="1" applyAlignment="1">
      <alignment horizontal="right" vertical="justify" wrapText="1"/>
    </xf>
    <xf numFmtId="4" fontId="12" fillId="0" borderId="6" xfId="0" applyNumberFormat="1" applyFont="1" applyFill="1" applyBorder="1" applyAlignment="1">
      <alignment horizontal="right" vertical="justify" wrapText="1"/>
    </xf>
    <xf numFmtId="4" fontId="11" fillId="0" borderId="6" xfId="0" applyNumberFormat="1" applyFont="1" applyFill="1" applyBorder="1" applyAlignment="1">
      <alignment horizontal="right" vertical="justify" wrapText="1"/>
    </xf>
    <xf numFmtId="4" fontId="13" fillId="0" borderId="6" xfId="0" applyNumberFormat="1" applyFont="1" applyFill="1" applyBorder="1" applyAlignment="1">
      <alignment horizontal="right" vertical="justify" wrapText="1"/>
    </xf>
    <xf numFmtId="4" fontId="11" fillId="0" borderId="9" xfId="0" applyNumberFormat="1" applyFont="1" applyFill="1" applyBorder="1" applyAlignment="1">
      <alignment horizontal="right" vertical="justify" wrapText="1"/>
    </xf>
    <xf numFmtId="4" fontId="13" fillId="0" borderId="9" xfId="0" applyNumberFormat="1" applyFont="1" applyFill="1" applyBorder="1" applyAlignment="1">
      <alignment horizontal="right" vertical="justify" wrapText="1"/>
    </xf>
    <xf numFmtId="4" fontId="13" fillId="0" borderId="16" xfId="0" applyNumberFormat="1" applyFont="1" applyFill="1" applyBorder="1" applyAlignment="1">
      <alignment horizontal="right" vertical="justify" wrapText="1"/>
    </xf>
    <xf numFmtId="4" fontId="11" fillId="0" borderId="16" xfId="0" applyNumberFormat="1" applyFont="1" applyFill="1" applyBorder="1" applyAlignment="1">
      <alignment horizontal="right" vertical="justify" wrapText="1"/>
    </xf>
    <xf numFmtId="0" fontId="10" fillId="0" borderId="0" xfId="0" applyFont="1" applyFill="1" applyAlignment="1">
      <alignment horizontal="center" vertical="top"/>
    </xf>
    <xf numFmtId="0" fontId="12" fillId="0" borderId="16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164" fontId="13" fillId="0" borderId="9" xfId="1" applyFont="1" applyFill="1" applyBorder="1" applyAlignment="1">
      <alignment horizontal="right" vertical="top" wrapText="1"/>
    </xf>
    <xf numFmtId="2" fontId="12" fillId="0" borderId="0" xfId="0" applyNumberFormat="1" applyFont="1" applyFill="1" applyAlignment="1">
      <alignment vertical="top" wrapText="1"/>
    </xf>
    <xf numFmtId="4" fontId="13" fillId="0" borderId="8" xfId="0" applyNumberFormat="1" applyFont="1" applyFill="1" applyBorder="1" applyAlignment="1">
      <alignment horizontal="right" vertical="top" wrapText="1"/>
    </xf>
    <xf numFmtId="49" fontId="18" fillId="0" borderId="0" xfId="0" applyNumberFormat="1" applyFont="1" applyFill="1" applyAlignment="1">
      <alignment vertical="top" wrapText="1"/>
    </xf>
    <xf numFmtId="49" fontId="18" fillId="0" borderId="0" xfId="0" applyNumberFormat="1" applyFont="1" applyFill="1" applyAlignment="1">
      <alignment horizontal="center" vertical="top" wrapText="1"/>
    </xf>
    <xf numFmtId="49" fontId="19" fillId="0" borderId="0" xfId="0" applyNumberFormat="1" applyFont="1" applyFill="1" applyAlignment="1">
      <alignment horizontal="center" vertical="center" wrapText="1"/>
    </xf>
    <xf numFmtId="2" fontId="20" fillId="0" borderId="0" xfId="0" applyNumberFormat="1" applyFont="1" applyFill="1" applyAlignment="1">
      <alignment vertical="top" wrapText="1"/>
    </xf>
    <xf numFmtId="49" fontId="20" fillId="0" borderId="0" xfId="0" applyNumberFormat="1" applyFont="1" applyFill="1" applyAlignment="1">
      <alignment vertical="top" wrapText="1"/>
    </xf>
    <xf numFmtId="49" fontId="21" fillId="0" borderId="30" xfId="0" applyNumberFormat="1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vertical="justify"/>
    </xf>
    <xf numFmtId="0" fontId="19" fillId="0" borderId="0" xfId="0" applyFont="1" applyFill="1" applyAlignment="1">
      <alignment horizontal="center" vertical="top"/>
    </xf>
    <xf numFmtId="0" fontId="24" fillId="0" borderId="0" xfId="0" applyFont="1" applyFill="1" applyAlignment="1">
      <alignment horizontal="right"/>
    </xf>
    <xf numFmtId="0" fontId="27" fillId="0" borderId="23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49" fontId="21" fillId="0" borderId="2" xfId="0" applyNumberFormat="1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justify" wrapText="1"/>
    </xf>
    <xf numFmtId="0" fontId="20" fillId="0" borderId="4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right" vertical="justify" wrapText="1"/>
    </xf>
    <xf numFmtId="4" fontId="20" fillId="0" borderId="4" xfId="0" applyNumberFormat="1" applyFont="1" applyFill="1" applyBorder="1" applyAlignment="1">
      <alignment horizontal="right" vertical="top" wrapText="1"/>
    </xf>
    <xf numFmtId="4" fontId="20" fillId="0" borderId="3" xfId="0" applyNumberFormat="1" applyFont="1" applyFill="1" applyBorder="1" applyAlignment="1">
      <alignment horizontal="right" vertical="top" wrapText="1"/>
    </xf>
    <xf numFmtId="49" fontId="28" fillId="0" borderId="7" xfId="0" quotePrefix="1" applyNumberFormat="1" applyFont="1" applyFill="1" applyBorder="1" applyAlignment="1">
      <alignment horizontal="center" vertical="top" wrapText="1"/>
    </xf>
    <xf numFmtId="49" fontId="28" fillId="0" borderId="7" xfId="0" applyNumberFormat="1" applyFont="1" applyFill="1" applyBorder="1" applyAlignment="1">
      <alignment horizontal="center" vertical="top" wrapText="1"/>
    </xf>
    <xf numFmtId="0" fontId="28" fillId="0" borderId="7" xfId="0" applyFont="1" applyFill="1" applyBorder="1" applyAlignment="1">
      <alignment vertical="top" wrapText="1"/>
    </xf>
    <xf numFmtId="0" fontId="28" fillId="0" borderId="7" xfId="0" applyFont="1" applyFill="1" applyBorder="1" applyAlignment="1">
      <alignment horizontal="center" vertical="justify" wrapText="1"/>
    </xf>
    <xf numFmtId="0" fontId="28" fillId="0" borderId="6" xfId="0" applyFont="1" applyFill="1" applyBorder="1" applyAlignment="1">
      <alignment horizontal="center" vertical="top" wrapText="1"/>
    </xf>
    <xf numFmtId="4" fontId="28" fillId="0" borderId="6" xfId="0" applyNumberFormat="1" applyFont="1" applyFill="1" applyBorder="1" applyAlignment="1">
      <alignment horizontal="right" vertical="justify" wrapText="1"/>
    </xf>
    <xf numFmtId="4" fontId="28" fillId="0" borderId="6" xfId="0" applyNumberFormat="1" applyFont="1" applyFill="1" applyBorder="1" applyAlignment="1">
      <alignment horizontal="right" vertical="top" wrapText="1"/>
    </xf>
    <xf numFmtId="4" fontId="28" fillId="0" borderId="8" xfId="0" applyNumberFormat="1" applyFont="1" applyFill="1" applyBorder="1" applyAlignment="1">
      <alignment horizontal="right" vertical="top" wrapText="1"/>
    </xf>
    <xf numFmtId="0" fontId="21" fillId="0" borderId="7" xfId="0" quotePrefix="1" applyFont="1" applyFill="1" applyBorder="1" applyAlignment="1">
      <alignment horizontal="center" vertical="top" wrapText="1"/>
    </xf>
    <xf numFmtId="49" fontId="21" fillId="0" borderId="7" xfId="0" applyNumberFormat="1" applyFont="1" applyFill="1" applyBorder="1" applyAlignment="1">
      <alignment horizontal="center" vertical="top" wrapText="1"/>
    </xf>
    <xf numFmtId="0" fontId="21" fillId="0" borderId="7" xfId="0" applyFont="1" applyFill="1" applyBorder="1" applyAlignment="1">
      <alignment vertical="top" wrapText="1"/>
    </xf>
    <xf numFmtId="0" fontId="21" fillId="0" borderId="7" xfId="0" applyFont="1" applyFill="1" applyBorder="1" applyAlignment="1">
      <alignment horizontal="center" vertical="justify" wrapText="1"/>
    </xf>
    <xf numFmtId="0" fontId="21" fillId="0" borderId="6" xfId="0" applyFont="1" applyFill="1" applyBorder="1" applyAlignment="1">
      <alignment horizontal="center" vertical="top" wrapText="1"/>
    </xf>
    <xf numFmtId="4" fontId="21" fillId="0" borderId="6" xfId="0" applyNumberFormat="1" applyFont="1" applyFill="1" applyBorder="1" applyAlignment="1">
      <alignment horizontal="right" vertical="justify" wrapText="1"/>
    </xf>
    <xf numFmtId="4" fontId="21" fillId="0" borderId="6" xfId="0" applyNumberFormat="1" applyFont="1" applyFill="1" applyBorder="1" applyAlignment="1">
      <alignment horizontal="right" vertical="top" wrapText="1"/>
    </xf>
    <xf numFmtId="2" fontId="21" fillId="0" borderId="6" xfId="0" applyNumberFormat="1" applyFont="1" applyFill="1" applyBorder="1" applyAlignment="1">
      <alignment horizontal="right" vertical="top"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1" fillId="0" borderId="0" xfId="0" applyFont="1" applyFill="1"/>
    <xf numFmtId="0" fontId="20" fillId="0" borderId="0" xfId="0" applyFont="1" applyFill="1"/>
    <xf numFmtId="49" fontId="28" fillId="0" borderId="15" xfId="0" applyNumberFormat="1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vertical="top" wrapText="1"/>
    </xf>
    <xf numFmtId="0" fontId="28" fillId="0" borderId="15" xfId="0" applyFont="1" applyFill="1" applyBorder="1" applyAlignment="1">
      <alignment horizontal="center" vertical="justify" wrapText="1"/>
    </xf>
    <xf numFmtId="0" fontId="28" fillId="0" borderId="16" xfId="0" applyFont="1" applyFill="1" applyBorder="1" applyAlignment="1">
      <alignment horizontal="center" vertical="top" wrapText="1"/>
    </xf>
    <xf numFmtId="4" fontId="28" fillId="0" borderId="16" xfId="0" applyNumberFormat="1" applyFont="1" applyFill="1" applyBorder="1" applyAlignment="1">
      <alignment horizontal="right" vertical="justify" wrapText="1"/>
    </xf>
    <xf numFmtId="4" fontId="28" fillId="0" borderId="16" xfId="0" applyNumberFormat="1" applyFont="1" applyFill="1" applyBorder="1" applyAlignment="1">
      <alignment horizontal="right" vertical="top" wrapText="1"/>
    </xf>
    <xf numFmtId="4" fontId="28" fillId="0" borderId="17" xfId="0" applyNumberFormat="1" applyFont="1" applyFill="1" applyBorder="1" applyAlignment="1">
      <alignment horizontal="right" vertical="top" wrapText="1"/>
    </xf>
    <xf numFmtId="4" fontId="21" fillId="0" borderId="8" xfId="0" applyNumberFormat="1" applyFont="1" applyFill="1" applyBorder="1" applyAlignment="1">
      <alignment horizontal="right" vertical="top" wrapText="1"/>
    </xf>
    <xf numFmtId="4" fontId="21" fillId="0" borderId="7" xfId="0" applyNumberFormat="1" applyFont="1" applyFill="1" applyBorder="1" applyAlignment="1">
      <alignment horizontal="center" vertical="justify" wrapText="1"/>
    </xf>
    <xf numFmtId="4" fontId="21" fillId="0" borderId="6" xfId="0" applyNumberFormat="1" applyFont="1" applyFill="1" applyBorder="1" applyAlignment="1">
      <alignment horizontal="center" vertical="top" wrapText="1"/>
    </xf>
    <xf numFmtId="0" fontId="21" fillId="0" borderId="13" xfId="0" quotePrefix="1" applyFont="1" applyFill="1" applyBorder="1" applyAlignment="1">
      <alignment horizontal="center" vertical="top" wrapText="1"/>
    </xf>
    <xf numFmtId="49" fontId="21" fillId="0" borderId="13" xfId="0" applyNumberFormat="1" applyFont="1" applyFill="1" applyBorder="1" applyAlignment="1">
      <alignment horizontal="center" vertical="top" wrapText="1"/>
    </xf>
    <xf numFmtId="49" fontId="21" fillId="0" borderId="7" xfId="0" quotePrefix="1" applyNumberFormat="1" applyFont="1" applyFill="1" applyBorder="1" applyAlignment="1">
      <alignment horizontal="center" vertical="top" wrapText="1"/>
    </xf>
    <xf numFmtId="2" fontId="28" fillId="0" borderId="0" xfId="0" applyNumberFormat="1" applyFont="1" applyFill="1" applyAlignment="1">
      <alignment vertical="top" wrapText="1"/>
    </xf>
    <xf numFmtId="49" fontId="28" fillId="0" borderId="0" xfId="0" applyNumberFormat="1" applyFont="1" applyFill="1" applyAlignment="1">
      <alignment vertical="top" wrapText="1"/>
    </xf>
    <xf numFmtId="0" fontId="21" fillId="0" borderId="7" xfId="0" quotePrefix="1" applyFont="1" applyFill="1" applyBorder="1" applyAlignment="1">
      <alignment vertical="top" wrapText="1"/>
    </xf>
    <xf numFmtId="0" fontId="21" fillId="0" borderId="7" xfId="0" applyFont="1" applyFill="1" applyBorder="1" applyAlignment="1">
      <alignment horizontal="center" vertical="top" wrapText="1"/>
    </xf>
    <xf numFmtId="0" fontId="29" fillId="0" borderId="7" xfId="0" quotePrefix="1" applyFont="1" applyFill="1" applyBorder="1" applyAlignment="1">
      <alignment horizontal="center" vertical="top" wrapText="1"/>
    </xf>
    <xf numFmtId="49" fontId="29" fillId="0" borderId="7" xfId="0" applyNumberFormat="1" applyFont="1" applyFill="1" applyBorder="1" applyAlignment="1">
      <alignment horizontal="center" vertical="top" wrapText="1"/>
    </xf>
    <xf numFmtId="0" fontId="29" fillId="0" borderId="15" xfId="0" applyFont="1" applyFill="1" applyBorder="1" applyAlignment="1">
      <alignment vertical="top" wrapText="1"/>
    </xf>
    <xf numFmtId="0" fontId="29" fillId="0" borderId="7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top" wrapText="1"/>
    </xf>
    <xf numFmtId="4" fontId="29" fillId="0" borderId="6" xfId="0" applyNumberFormat="1" applyFont="1" applyFill="1" applyBorder="1" applyAlignment="1">
      <alignment horizontal="right" vertical="justify" wrapText="1"/>
    </xf>
    <xf numFmtId="4" fontId="29" fillId="0" borderId="6" xfId="0" applyNumberFormat="1" applyFont="1" applyFill="1" applyBorder="1" applyAlignment="1">
      <alignment horizontal="right" vertical="top" wrapText="1"/>
    </xf>
    <xf numFmtId="2" fontId="29" fillId="0" borderId="6" xfId="0" applyNumberFormat="1" applyFont="1" applyFill="1" applyBorder="1" applyAlignment="1">
      <alignment horizontal="right" vertical="top" wrapText="1"/>
    </xf>
    <xf numFmtId="49" fontId="28" fillId="0" borderId="15" xfId="0" quotePrefix="1" applyNumberFormat="1" applyFont="1" applyFill="1" applyBorder="1" applyAlignment="1">
      <alignment horizontal="center" vertical="top" wrapText="1"/>
    </xf>
    <xf numFmtId="0" fontId="28" fillId="0" borderId="13" xfId="0" applyFont="1" applyFill="1" applyBorder="1" applyAlignment="1">
      <alignment horizontal="center" vertical="justify" wrapText="1"/>
    </xf>
    <xf numFmtId="0" fontId="28" fillId="0" borderId="9" xfId="0" applyFont="1" applyFill="1" applyBorder="1" applyAlignment="1">
      <alignment horizontal="center" vertical="top" wrapText="1"/>
    </xf>
    <xf numFmtId="4" fontId="28" fillId="0" borderId="9" xfId="0" applyNumberFormat="1" applyFont="1" applyFill="1" applyBorder="1" applyAlignment="1">
      <alignment horizontal="right" vertical="justify" wrapText="1"/>
    </xf>
    <xf numFmtId="0" fontId="21" fillId="0" borderId="13" xfId="0" applyFont="1" applyFill="1" applyBorder="1" applyAlignment="1">
      <alignment horizontal="center" vertical="justify" wrapText="1"/>
    </xf>
    <xf numFmtId="0" fontId="21" fillId="0" borderId="9" xfId="0" applyFont="1" applyFill="1" applyBorder="1" applyAlignment="1">
      <alignment horizontal="center" vertical="top" wrapText="1"/>
    </xf>
    <xf numFmtId="4" fontId="21" fillId="0" borderId="9" xfId="0" applyNumberFormat="1" applyFont="1" applyFill="1" applyBorder="1" applyAlignment="1">
      <alignment horizontal="right" vertical="justify" wrapText="1"/>
    </xf>
    <xf numFmtId="4" fontId="21" fillId="0" borderId="9" xfId="0" applyNumberFormat="1" applyFont="1" applyFill="1" applyBorder="1" applyAlignment="1">
      <alignment horizontal="right" vertical="top" wrapText="1"/>
    </xf>
    <xf numFmtId="2" fontId="21" fillId="0" borderId="9" xfId="0" applyNumberFormat="1" applyFont="1" applyFill="1" applyBorder="1" applyAlignment="1">
      <alignment horizontal="right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9" fillId="0" borderId="0" xfId="0" applyFont="1" applyFill="1"/>
    <xf numFmtId="49" fontId="20" fillId="0" borderId="2" xfId="0" applyNumberFormat="1" applyFont="1" applyFill="1" applyBorder="1" applyAlignment="1">
      <alignment horizontal="center" vertical="top" wrapText="1"/>
    </xf>
    <xf numFmtId="0" fontId="21" fillId="0" borderId="13" xfId="0" quotePrefix="1" applyFont="1" applyFill="1" applyBorder="1" applyAlignment="1">
      <alignment vertical="top" wrapText="1"/>
    </xf>
    <xf numFmtId="0" fontId="28" fillId="0" borderId="0" xfId="0" applyFont="1" applyFill="1"/>
    <xf numFmtId="0" fontId="29" fillId="0" borderId="7" xfId="0" applyFont="1" applyFill="1" applyBorder="1" applyAlignment="1">
      <alignment vertical="top" wrapText="1"/>
    </xf>
    <xf numFmtId="0" fontId="29" fillId="0" borderId="13" xfId="0" applyFont="1" applyFill="1" applyBorder="1" applyAlignment="1">
      <alignment horizontal="center" vertical="justify" wrapText="1"/>
    </xf>
    <xf numFmtId="0" fontId="29" fillId="0" borderId="9" xfId="0" applyFont="1" applyFill="1" applyBorder="1" applyAlignment="1">
      <alignment horizontal="center" vertical="top" wrapText="1"/>
    </xf>
    <xf numFmtId="4" fontId="29" fillId="0" borderId="9" xfId="0" applyNumberFormat="1" applyFont="1" applyFill="1" applyBorder="1" applyAlignment="1">
      <alignment horizontal="right" vertical="justify" wrapText="1"/>
    </xf>
    <xf numFmtId="4" fontId="29" fillId="0" borderId="9" xfId="0" applyNumberFormat="1" applyFont="1" applyFill="1" applyBorder="1" applyAlignment="1">
      <alignment horizontal="right" vertical="top" wrapText="1"/>
    </xf>
    <xf numFmtId="0" fontId="29" fillId="0" borderId="13" xfId="0" applyFont="1" applyFill="1" applyBorder="1" applyAlignment="1">
      <alignment horizontal="center" vertical="top" wrapText="1"/>
    </xf>
    <xf numFmtId="0" fontId="28" fillId="0" borderId="13" xfId="0" applyFont="1" applyFill="1" applyBorder="1" applyAlignment="1">
      <alignment horizontal="center" vertical="top" wrapText="1"/>
    </xf>
    <xf numFmtId="49" fontId="28" fillId="0" borderId="13" xfId="0" applyNumberFormat="1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top" wrapText="1"/>
    </xf>
    <xf numFmtId="0" fontId="20" fillId="0" borderId="9" xfId="0" applyFont="1" applyFill="1" applyBorder="1" applyAlignment="1">
      <alignment horizontal="center" vertical="top" wrapText="1"/>
    </xf>
    <xf numFmtId="4" fontId="28" fillId="0" borderId="9" xfId="0" applyNumberFormat="1" applyFont="1" applyFill="1" applyBorder="1" applyAlignment="1">
      <alignment horizontal="right" vertical="top" wrapText="1"/>
    </xf>
    <xf numFmtId="0" fontId="21" fillId="0" borderId="12" xfId="0" quotePrefix="1" applyFont="1" applyFill="1" applyBorder="1" applyAlignment="1">
      <alignment horizontal="center" vertical="top" wrapText="1"/>
    </xf>
    <xf numFmtId="0" fontId="21" fillId="0" borderId="12" xfId="0" applyFont="1" applyFill="1" applyBorder="1" applyAlignment="1">
      <alignment horizontal="center" vertical="top" wrapText="1"/>
    </xf>
    <xf numFmtId="49" fontId="21" fillId="0" borderId="12" xfId="0" applyNumberFormat="1" applyFont="1" applyFill="1" applyBorder="1" applyAlignment="1">
      <alignment horizontal="center" vertical="top" wrapText="1"/>
    </xf>
    <xf numFmtId="0" fontId="21" fillId="0" borderId="12" xfId="0" applyFont="1" applyFill="1" applyBorder="1" applyAlignment="1">
      <alignment vertical="top" wrapText="1"/>
    </xf>
    <xf numFmtId="0" fontId="21" fillId="0" borderId="11" xfId="0" applyFont="1" applyFill="1" applyBorder="1" applyAlignment="1">
      <alignment horizontal="center" vertical="top" wrapText="1"/>
    </xf>
    <xf numFmtId="4" fontId="21" fillId="0" borderId="11" xfId="0" applyNumberFormat="1" applyFont="1" applyFill="1" applyBorder="1" applyAlignment="1">
      <alignment horizontal="right" vertical="top" wrapText="1"/>
    </xf>
    <xf numFmtId="0" fontId="28" fillId="0" borderId="23" xfId="0" applyFont="1" applyFill="1" applyBorder="1" applyAlignment="1">
      <alignment horizontal="center" vertical="justify" wrapText="1"/>
    </xf>
    <xf numFmtId="0" fontId="28" fillId="0" borderId="20" xfId="0" applyFont="1" applyFill="1" applyBorder="1" applyAlignment="1">
      <alignment horizontal="center" vertical="top" wrapText="1"/>
    </xf>
    <xf numFmtId="4" fontId="28" fillId="0" borderId="20" xfId="0" applyNumberFormat="1" applyFont="1" applyFill="1" applyBorder="1" applyAlignment="1">
      <alignment horizontal="right" vertical="justify" wrapText="1"/>
    </xf>
    <xf numFmtId="4" fontId="28" fillId="0" borderId="20" xfId="0" applyNumberFormat="1" applyFont="1" applyFill="1" applyBorder="1" applyAlignment="1">
      <alignment horizontal="right" vertical="top" wrapText="1"/>
    </xf>
    <xf numFmtId="49" fontId="21" fillId="0" borderId="12" xfId="0" quotePrefix="1" applyNumberFormat="1" applyFont="1" applyFill="1" applyBorder="1" applyAlignment="1">
      <alignment horizontal="center" vertical="top" wrapText="1"/>
    </xf>
    <xf numFmtId="0" fontId="21" fillId="0" borderId="12" xfId="0" applyFont="1" applyFill="1" applyBorder="1" applyAlignment="1">
      <alignment horizontal="center" vertical="justify" wrapText="1"/>
    </xf>
    <xf numFmtId="0" fontId="21" fillId="0" borderId="15" xfId="0" applyFont="1" applyFill="1" applyBorder="1" applyAlignment="1">
      <alignment horizontal="center" vertical="justify" wrapText="1"/>
    </xf>
    <xf numFmtId="0" fontId="21" fillId="0" borderId="16" xfId="0" applyFont="1" applyFill="1" applyBorder="1" applyAlignment="1">
      <alignment horizontal="center" vertical="top" wrapText="1"/>
    </xf>
    <xf numFmtId="4" fontId="21" fillId="0" borderId="16" xfId="0" applyNumberFormat="1" applyFont="1" applyFill="1" applyBorder="1" applyAlignment="1">
      <alignment horizontal="right" vertical="justify" wrapText="1"/>
    </xf>
    <xf numFmtId="4" fontId="21" fillId="0" borderId="16" xfId="0" applyNumberFormat="1" applyFont="1" applyFill="1" applyBorder="1" applyAlignment="1">
      <alignment horizontal="right" vertical="top" wrapText="1"/>
    </xf>
    <xf numFmtId="4" fontId="28" fillId="0" borderId="19" xfId="0" applyNumberFormat="1" applyFont="1" applyFill="1" applyBorder="1" applyAlignment="1">
      <alignment horizontal="right" vertical="top" wrapText="1"/>
    </xf>
    <xf numFmtId="4" fontId="21" fillId="0" borderId="11" xfId="0" applyNumberFormat="1" applyFont="1" applyFill="1" applyBorder="1" applyAlignment="1">
      <alignment horizontal="right" vertical="justify" wrapText="1"/>
    </xf>
    <xf numFmtId="0" fontId="28" fillId="0" borderId="7" xfId="0" applyFont="1" applyFill="1" applyBorder="1" applyAlignment="1">
      <alignment horizontal="center" vertical="top" wrapText="1"/>
    </xf>
    <xf numFmtId="4" fontId="28" fillId="0" borderId="7" xfId="0" applyNumberFormat="1" applyFont="1" applyFill="1" applyBorder="1" applyAlignment="1">
      <alignment horizontal="right" vertical="top" wrapText="1"/>
    </xf>
    <xf numFmtId="49" fontId="28" fillId="0" borderId="23" xfId="0" applyNumberFormat="1" applyFont="1" applyFill="1" applyBorder="1" applyAlignment="1">
      <alignment horizontal="center" vertical="top" wrapText="1"/>
    </xf>
    <xf numFmtId="0" fontId="21" fillId="0" borderId="15" xfId="0" applyFont="1" applyFill="1" applyBorder="1" applyAlignment="1">
      <alignment horizontal="center" vertical="top" wrapText="1"/>
    </xf>
    <xf numFmtId="0" fontId="21" fillId="0" borderId="7" xfId="0" applyFont="1" applyFill="1" applyBorder="1" applyAlignment="1">
      <alignment horizontal="left" vertical="center" wrapText="1"/>
    </xf>
    <xf numFmtId="4" fontId="21" fillId="0" borderId="7" xfId="0" applyNumberFormat="1" applyFont="1" applyFill="1" applyBorder="1" applyAlignment="1">
      <alignment horizontal="right" vertical="top" wrapText="1"/>
    </xf>
    <xf numFmtId="4" fontId="21" fillId="0" borderId="14" xfId="0" applyNumberFormat="1" applyFont="1" applyFill="1" applyBorder="1" applyAlignment="1">
      <alignment horizontal="right" vertical="top" wrapText="1"/>
    </xf>
    <xf numFmtId="49" fontId="21" fillId="0" borderId="15" xfId="0" applyNumberFormat="1" applyFont="1" applyFill="1" applyBorder="1" applyAlignment="1">
      <alignment horizontal="center" vertical="top" wrapText="1"/>
    </xf>
    <xf numFmtId="0" fontId="20" fillId="0" borderId="15" xfId="0" applyFont="1" applyFill="1" applyBorder="1" applyAlignment="1">
      <alignment horizontal="center" vertical="top" wrapText="1"/>
    </xf>
    <xf numFmtId="0" fontId="20" fillId="0" borderId="16" xfId="0" applyFont="1" applyFill="1" applyBorder="1" applyAlignment="1">
      <alignment horizontal="center" vertical="top" wrapText="1"/>
    </xf>
    <xf numFmtId="4" fontId="20" fillId="0" borderId="16" xfId="0" applyNumberFormat="1" applyFont="1" applyFill="1" applyBorder="1" applyAlignment="1">
      <alignment horizontal="right" vertical="justify" wrapText="1"/>
    </xf>
    <xf numFmtId="4" fontId="20" fillId="0" borderId="16" xfId="0" applyNumberFormat="1" applyFont="1" applyFill="1" applyBorder="1" applyAlignment="1">
      <alignment horizontal="right" vertical="top" wrapText="1"/>
    </xf>
    <xf numFmtId="4" fontId="21" fillId="0" borderId="10" xfId="0" applyNumberFormat="1" applyFont="1" applyFill="1" applyBorder="1" applyAlignment="1">
      <alignment horizontal="right" vertical="top" wrapText="1"/>
    </xf>
    <xf numFmtId="0" fontId="29" fillId="0" borderId="7" xfId="0" applyFont="1" applyFill="1" applyBorder="1" applyAlignment="1">
      <alignment horizontal="center" vertical="justify" wrapText="1"/>
    </xf>
    <xf numFmtId="0" fontId="21" fillId="0" borderId="15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center" vertical="top" wrapText="1"/>
    </xf>
    <xf numFmtId="49" fontId="29" fillId="0" borderId="15" xfId="0" applyNumberFormat="1" applyFont="1" applyFill="1" applyBorder="1" applyAlignment="1">
      <alignment horizontal="center" vertical="top" wrapText="1"/>
    </xf>
    <xf numFmtId="0" fontId="29" fillId="0" borderId="23" xfId="0" applyFont="1" applyFill="1" applyBorder="1"/>
    <xf numFmtId="0" fontId="29" fillId="0" borderId="16" xfId="0" applyFont="1" applyFill="1" applyBorder="1" applyAlignment="1">
      <alignment horizontal="center" vertical="top" wrapText="1"/>
    </xf>
    <xf numFmtId="4" fontId="29" fillId="0" borderId="16" xfId="0" applyNumberFormat="1" applyFont="1" applyFill="1" applyBorder="1" applyAlignment="1">
      <alignment horizontal="right" vertical="justify" wrapText="1"/>
    </xf>
    <xf numFmtId="4" fontId="29" fillId="0" borderId="16" xfId="0" applyNumberFormat="1" applyFont="1" applyFill="1" applyBorder="1" applyAlignment="1">
      <alignment horizontal="right" vertical="top" wrapText="1"/>
    </xf>
    <xf numFmtId="49" fontId="26" fillId="0" borderId="0" xfId="0" applyNumberFormat="1" applyFont="1" applyFill="1" applyAlignment="1">
      <alignment vertical="top" wrapText="1"/>
    </xf>
    <xf numFmtId="0" fontId="21" fillId="0" borderId="24" xfId="0" applyFont="1" applyFill="1" applyBorder="1" applyAlignment="1">
      <alignment horizontal="center" vertical="justify" wrapText="1"/>
    </xf>
    <xf numFmtId="0" fontId="21" fillId="0" borderId="22" xfId="0" applyFont="1" applyFill="1" applyBorder="1" applyAlignment="1">
      <alignment horizontal="center" vertical="top" wrapText="1"/>
    </xf>
    <xf numFmtId="4" fontId="20" fillId="0" borderId="22" xfId="0" applyNumberFormat="1" applyFont="1" applyFill="1" applyBorder="1" applyAlignment="1">
      <alignment horizontal="right" wrapText="1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vertical="top"/>
    </xf>
    <xf numFmtId="0" fontId="24" fillId="0" borderId="0" xfId="0" applyFont="1" applyFill="1" applyAlignment="1">
      <alignment vertical="justify"/>
    </xf>
    <xf numFmtId="0" fontId="24" fillId="0" borderId="0" xfId="0" applyFont="1" applyFill="1" applyAlignment="1">
      <alignment horizontal="center" vertical="top"/>
    </xf>
    <xf numFmtId="0" fontId="24" fillId="0" borderId="0" xfId="0" applyFont="1" applyFill="1"/>
    <xf numFmtId="4" fontId="24" fillId="0" borderId="0" xfId="0" applyNumberFormat="1" applyFont="1" applyFill="1"/>
    <xf numFmtId="0" fontId="21" fillId="0" borderId="0" xfId="0" applyFont="1" applyFill="1" applyAlignment="1">
      <alignment wrapText="1"/>
    </xf>
    <xf numFmtId="49" fontId="30" fillId="0" borderId="0" xfId="0" applyNumberFormat="1" applyFont="1" applyFill="1" applyAlignment="1">
      <alignment vertical="top" wrapText="1"/>
    </xf>
    <xf numFmtId="49" fontId="31" fillId="0" borderId="0" xfId="0" applyNumberFormat="1" applyFont="1" applyFill="1" applyAlignment="1">
      <alignment vertical="top" wrapText="1"/>
    </xf>
    <xf numFmtId="49" fontId="24" fillId="0" borderId="0" xfId="0" applyNumberFormat="1" applyFont="1" applyFill="1" applyAlignment="1">
      <alignment vertical="top" wrapText="1"/>
    </xf>
    <xf numFmtId="49" fontId="32" fillId="0" borderId="0" xfId="0" applyNumberFormat="1" applyFont="1" applyFill="1" applyAlignment="1">
      <alignment vertical="top" wrapText="1"/>
    </xf>
    <xf numFmtId="0" fontId="26" fillId="0" borderId="0" xfId="0" applyFont="1" applyFill="1" applyAlignment="1">
      <alignment vertical="top" wrapText="1"/>
    </xf>
    <xf numFmtId="0" fontId="24" fillId="0" borderId="0" xfId="0" applyFont="1" applyFill="1" applyAlignment="1">
      <alignment horizontal="right" vertical="justify"/>
    </xf>
    <xf numFmtId="4" fontId="26" fillId="0" borderId="0" xfId="0" applyNumberFormat="1" applyFont="1" applyFill="1"/>
    <xf numFmtId="0" fontId="30" fillId="0" borderId="0" xfId="0" applyFont="1" applyFill="1"/>
    <xf numFmtId="0" fontId="30" fillId="0" borderId="0" xfId="0" applyFont="1" applyFill="1" applyAlignment="1">
      <alignment vertical="top"/>
    </xf>
    <xf numFmtId="0" fontId="30" fillId="0" borderId="0" xfId="0" applyFont="1" applyFill="1" applyAlignment="1">
      <alignment horizontal="right" vertical="justify"/>
    </xf>
    <xf numFmtId="0" fontId="30" fillId="0" borderId="0" xfId="0" applyFont="1" applyFill="1" applyAlignment="1">
      <alignment horizontal="center" vertical="top"/>
    </xf>
    <xf numFmtId="4" fontId="30" fillId="0" borderId="0" xfId="0" applyNumberFormat="1" applyFont="1" applyFill="1" applyAlignment="1">
      <alignment horizontal="right" vertical="justify"/>
    </xf>
    <xf numFmtId="4" fontId="30" fillId="0" borderId="0" xfId="0" applyNumberFormat="1" applyFont="1" applyFill="1"/>
    <xf numFmtId="0" fontId="31" fillId="0" borderId="0" xfId="0" applyFont="1" applyFill="1"/>
    <xf numFmtId="0" fontId="33" fillId="0" borderId="0" xfId="0" applyFont="1" applyFill="1" applyAlignment="1">
      <alignment vertical="top" wrapText="1"/>
    </xf>
    <xf numFmtId="0" fontId="31" fillId="0" borderId="0" xfId="0" applyFont="1" applyFill="1" applyAlignment="1">
      <alignment horizontal="right" vertical="justify"/>
    </xf>
    <xf numFmtId="0" fontId="31" fillId="0" borderId="0" xfId="0" applyFont="1" applyFill="1" applyAlignment="1">
      <alignment horizontal="center" vertical="top"/>
    </xf>
    <xf numFmtId="4" fontId="33" fillId="0" borderId="0" xfId="0" applyNumberFormat="1" applyFont="1" applyFill="1"/>
    <xf numFmtId="0" fontId="32" fillId="0" borderId="0" xfId="0" applyFont="1" applyFill="1"/>
    <xf numFmtId="0" fontId="32" fillId="0" borderId="0" xfId="0" applyFont="1" applyFill="1" applyAlignment="1">
      <alignment vertical="top"/>
    </xf>
    <xf numFmtId="0" fontId="34" fillId="0" borderId="1" xfId="0" applyFont="1" applyFill="1" applyBorder="1" applyAlignment="1">
      <alignment horizontal="right" vertical="justify"/>
    </xf>
    <xf numFmtId="0" fontId="32" fillId="0" borderId="27" xfId="0" applyFont="1" applyFill="1" applyBorder="1" applyAlignment="1">
      <alignment horizontal="center" vertical="top"/>
    </xf>
    <xf numFmtId="4" fontId="34" fillId="0" borderId="1" xfId="0" applyNumberFormat="1" applyFont="1" applyFill="1" applyBorder="1"/>
    <xf numFmtId="0" fontId="24" fillId="0" borderId="1" xfId="0" applyFont="1" applyFill="1" applyBorder="1" applyAlignment="1">
      <alignment horizontal="right" vertical="justify"/>
    </xf>
    <xf numFmtId="0" fontId="24" fillId="0" borderId="26" xfId="0" applyFont="1" applyFill="1" applyBorder="1" applyAlignment="1">
      <alignment horizontal="center" vertical="top"/>
    </xf>
    <xf numFmtId="4" fontId="26" fillId="0" borderId="1" xfId="0" applyNumberFormat="1" applyFont="1" applyFill="1" applyBorder="1" applyAlignment="1">
      <alignment horizontal="right" vertical="justify"/>
    </xf>
    <xf numFmtId="4" fontId="26" fillId="0" borderId="1" xfId="0" applyNumberFormat="1" applyFont="1" applyFill="1" applyBorder="1"/>
    <xf numFmtId="0" fontId="24" fillId="0" borderId="29" xfId="0" applyFont="1" applyFill="1" applyBorder="1" applyAlignment="1">
      <alignment horizontal="center" vertical="top"/>
    </xf>
    <xf numFmtId="4" fontId="27" fillId="0" borderId="1" xfId="0" applyNumberFormat="1" applyFont="1" applyFill="1" applyBorder="1" applyAlignment="1">
      <alignment horizontal="right" vertical="center"/>
    </xf>
    <xf numFmtId="0" fontId="24" fillId="0" borderId="28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horizontal="right" vertical="justify"/>
    </xf>
    <xf numFmtId="4" fontId="26" fillId="0" borderId="31" xfId="0" applyNumberFormat="1" applyFont="1" applyFill="1" applyBorder="1" applyAlignment="1">
      <alignment horizontal="right" vertical="justify"/>
    </xf>
    <xf numFmtId="0" fontId="24" fillId="0" borderId="0" xfId="0" applyFont="1" applyFill="1" applyBorder="1" applyAlignment="1">
      <alignment horizontal="center" vertical="top"/>
    </xf>
    <xf numFmtId="4" fontId="27" fillId="0" borderId="1" xfId="0" applyNumberFormat="1" applyFont="1" applyFill="1" applyBorder="1"/>
    <xf numFmtId="4" fontId="27" fillId="0" borderId="5" xfId="0" applyNumberFormat="1" applyFont="1" applyFill="1" applyBorder="1"/>
    <xf numFmtId="0" fontId="19" fillId="0" borderId="0" xfId="0" applyFont="1" applyFill="1" applyAlignment="1">
      <alignment vertical="top"/>
    </xf>
    <xf numFmtId="0" fontId="19" fillId="0" borderId="0" xfId="0" applyFont="1" applyFill="1" applyBorder="1" applyAlignment="1">
      <alignment horizontal="right" vertical="justify"/>
    </xf>
    <xf numFmtId="0" fontId="19" fillId="0" borderId="0" xfId="0" applyFont="1" applyFill="1" applyBorder="1" applyAlignment="1">
      <alignment horizontal="center" vertical="top"/>
    </xf>
    <xf numFmtId="0" fontId="37" fillId="0" borderId="0" xfId="0" applyFont="1" applyFill="1" applyBorder="1" applyAlignment="1">
      <alignment horizontal="right" vertical="justify"/>
    </xf>
    <xf numFmtId="0" fontId="19" fillId="0" borderId="28" xfId="0" applyFont="1" applyFill="1" applyBorder="1" applyAlignment="1">
      <alignment horizontal="center" vertical="top"/>
    </xf>
    <xf numFmtId="4" fontId="26" fillId="0" borderId="32" xfId="0" applyNumberFormat="1" applyFont="1" applyFill="1" applyBorder="1" applyAlignment="1">
      <alignment horizontal="right" vertical="justify"/>
    </xf>
    <xf numFmtId="4" fontId="27" fillId="0" borderId="33" xfId="0" applyNumberFormat="1" applyFont="1" applyFill="1" applyBorder="1"/>
    <xf numFmtId="0" fontId="19" fillId="0" borderId="0" xfId="0" applyFont="1" applyFill="1" applyAlignment="1">
      <alignment horizontal="right" vertical="justify"/>
    </xf>
    <xf numFmtId="0" fontId="27" fillId="0" borderId="0" xfId="0" applyFont="1" applyFill="1" applyAlignment="1">
      <alignment horizontal="right"/>
    </xf>
    <xf numFmtId="0" fontId="27" fillId="0" borderId="0" xfId="0" applyFont="1" applyFill="1" applyBorder="1" applyAlignment="1">
      <alignment horizontal="center" vertical="top"/>
    </xf>
    <xf numFmtId="0" fontId="27" fillId="0" borderId="0" xfId="0" applyFont="1" applyFill="1" applyAlignment="1">
      <alignment horizontal="right" vertical="justify"/>
    </xf>
    <xf numFmtId="0" fontId="38" fillId="0" borderId="0" xfId="0" applyFont="1" applyFill="1" applyAlignment="1">
      <alignment horizontal="right" vertical="justify"/>
    </xf>
    <xf numFmtId="0" fontId="27" fillId="0" borderId="0" xfId="0" applyFont="1" applyFill="1" applyAlignment="1">
      <alignment vertical="justify"/>
    </xf>
    <xf numFmtId="4" fontId="27" fillId="0" borderId="31" xfId="0" applyNumberFormat="1" applyFont="1" applyFill="1" applyBorder="1"/>
    <xf numFmtId="0" fontId="18" fillId="0" borderId="0" xfId="0" applyFont="1" applyFill="1" applyAlignment="1">
      <alignment vertical="justify"/>
    </xf>
    <xf numFmtId="0" fontId="21" fillId="0" borderId="0" xfId="0" applyFont="1" applyAlignment="1"/>
    <xf numFmtId="0" fontId="24" fillId="0" borderId="0" xfId="0" applyFont="1" applyFill="1" applyAlignment="1"/>
    <xf numFmtId="2" fontId="29" fillId="0" borderId="16" xfId="0" applyNumberFormat="1" applyFont="1" applyFill="1" applyBorder="1" applyAlignment="1">
      <alignment horizontal="right" vertical="top" wrapText="1"/>
    </xf>
    <xf numFmtId="0" fontId="29" fillId="0" borderId="15" xfId="0" quotePrefix="1" applyFont="1" applyFill="1" applyBorder="1" applyAlignment="1">
      <alignment horizontal="center" vertical="top" wrapText="1"/>
    </xf>
    <xf numFmtId="0" fontId="29" fillId="0" borderId="13" xfId="0" quotePrefix="1" applyFont="1" applyFill="1" applyBorder="1" applyAlignment="1">
      <alignment horizontal="center" vertical="top" wrapText="1"/>
    </xf>
    <xf numFmtId="49" fontId="21" fillId="0" borderId="15" xfId="0" quotePrefix="1" applyNumberFormat="1" applyFont="1" applyFill="1" applyBorder="1" applyAlignment="1">
      <alignment horizontal="center" vertical="top" wrapText="1"/>
    </xf>
    <xf numFmtId="0" fontId="21" fillId="0" borderId="15" xfId="0" quotePrefix="1" applyFont="1" applyFill="1" applyBorder="1" applyAlignment="1">
      <alignment horizontal="center" vertical="top" wrapText="1"/>
    </xf>
    <xf numFmtId="0" fontId="21" fillId="0" borderId="21" xfId="0" applyFont="1" applyFill="1" applyBorder="1" applyAlignment="1">
      <alignment horizontal="center" vertical="top" wrapText="1"/>
    </xf>
    <xf numFmtId="49" fontId="21" fillId="0" borderId="13" xfId="0" quotePrefix="1" applyNumberFormat="1" applyFont="1" applyFill="1" applyBorder="1" applyAlignment="1">
      <alignment horizontal="center" vertical="top" wrapText="1"/>
    </xf>
    <xf numFmtId="0" fontId="29" fillId="0" borderId="15" xfId="0" applyFont="1" applyFill="1" applyBorder="1" applyAlignment="1">
      <alignment horizontal="center" vertical="justify" wrapText="1"/>
    </xf>
    <xf numFmtId="0" fontId="28" fillId="0" borderId="23" xfId="0" applyFont="1" applyFill="1" applyBorder="1" applyAlignment="1">
      <alignment horizontal="center" vertical="top" wrapText="1"/>
    </xf>
    <xf numFmtId="0" fontId="29" fillId="0" borderId="12" xfId="0" applyFont="1" applyFill="1" applyBorder="1" applyAlignment="1">
      <alignment horizontal="center" vertical="top" wrapText="1"/>
    </xf>
    <xf numFmtId="0" fontId="20" fillId="0" borderId="7" xfId="0" applyFont="1" applyFill="1" applyBorder="1" applyAlignment="1">
      <alignment horizontal="center" vertical="top" wrapText="1"/>
    </xf>
    <xf numFmtId="0" fontId="21" fillId="0" borderId="23" xfId="0" applyFont="1" applyFill="1" applyBorder="1" applyAlignment="1">
      <alignment horizontal="center" vertical="justify" wrapText="1"/>
    </xf>
    <xf numFmtId="4" fontId="21" fillId="0" borderId="15" xfId="0" applyNumberFormat="1" applyFont="1" applyFill="1" applyBorder="1" applyAlignment="1">
      <alignment horizontal="center" vertical="top" wrapText="1"/>
    </xf>
    <xf numFmtId="0" fontId="20" fillId="0" borderId="0" xfId="0" applyFont="1" applyFill="1" applyAlignment="1">
      <alignment vertical="justify"/>
    </xf>
    <xf numFmtId="0" fontId="20" fillId="0" borderId="0" xfId="0" applyFont="1" applyFill="1" applyAlignment="1">
      <alignment horizontal="center"/>
    </xf>
    <xf numFmtId="4" fontId="21" fillId="0" borderId="20" xfId="0" applyNumberFormat="1" applyFont="1" applyFill="1" applyBorder="1" applyAlignment="1">
      <alignment horizontal="right" vertical="top" wrapText="1"/>
    </xf>
    <xf numFmtId="49" fontId="29" fillId="0" borderId="13" xfId="0" applyNumberFormat="1" applyFont="1" applyFill="1" applyBorder="1" applyAlignment="1">
      <alignment horizontal="center" vertical="top" wrapText="1"/>
    </xf>
    <xf numFmtId="49" fontId="29" fillId="0" borderId="12" xfId="0" applyNumberFormat="1" applyFont="1" applyFill="1" applyBorder="1" applyAlignment="1">
      <alignment horizontal="center" vertical="top" wrapText="1"/>
    </xf>
    <xf numFmtId="49" fontId="21" fillId="0" borderId="7" xfId="0" applyNumberFormat="1" applyFont="1" applyFill="1" applyBorder="1" applyAlignment="1">
      <alignment horizontal="center" vertical="top"/>
    </xf>
    <xf numFmtId="49" fontId="21" fillId="0" borderId="15" xfId="0" applyNumberFormat="1" applyFont="1" applyBorder="1" applyAlignment="1">
      <alignment horizontal="center" vertical="top"/>
    </xf>
    <xf numFmtId="49" fontId="21" fillId="0" borderId="21" xfId="0" applyNumberFormat="1" applyFont="1" applyFill="1" applyBorder="1" applyAlignment="1">
      <alignment horizontal="center" vertical="top" wrapText="1"/>
    </xf>
    <xf numFmtId="0" fontId="21" fillId="0" borderId="15" xfId="0" applyFont="1" applyFill="1" applyBorder="1" applyAlignment="1">
      <alignment vertical="top" wrapText="1"/>
    </xf>
    <xf numFmtId="0" fontId="8" fillId="0" borderId="0" xfId="0" applyFont="1" applyFill="1" applyAlignment="1">
      <alignment horizontal="right" vertical="justify"/>
    </xf>
    <xf numFmtId="0" fontId="8" fillId="0" borderId="1" xfId="0" applyFont="1" applyFill="1" applyBorder="1" applyAlignment="1">
      <alignment horizontal="right" vertical="justify"/>
    </xf>
    <xf numFmtId="0" fontId="8" fillId="0" borderId="26" xfId="0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right" vertical="justify"/>
    </xf>
    <xf numFmtId="0" fontId="8" fillId="0" borderId="29" xfId="0" applyFont="1" applyFill="1" applyBorder="1" applyAlignment="1">
      <alignment horizontal="center" vertical="top"/>
    </xf>
    <xf numFmtId="4" fontId="39" fillId="0" borderId="1" xfId="0" applyNumberFormat="1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right" vertical="justify"/>
    </xf>
    <xf numFmtId="4" fontId="7" fillId="0" borderId="31" xfId="0" applyNumberFormat="1" applyFont="1" applyFill="1" applyBorder="1" applyAlignment="1">
      <alignment horizontal="right" vertical="justify"/>
    </xf>
    <xf numFmtId="0" fontId="8" fillId="0" borderId="0" xfId="0" applyFont="1" applyFill="1" applyBorder="1" applyAlignment="1">
      <alignment horizontal="center" vertical="top"/>
    </xf>
    <xf numFmtId="4" fontId="40" fillId="0" borderId="1" xfId="0" applyNumberFormat="1" applyFont="1" applyFill="1" applyBorder="1"/>
    <xf numFmtId="4" fontId="40" fillId="0" borderId="5" xfId="0" applyNumberFormat="1" applyFont="1" applyFill="1" applyBorder="1"/>
    <xf numFmtId="0" fontId="5" fillId="0" borderId="0" xfId="0" applyFont="1" applyFill="1" applyAlignment="1">
      <alignment vertical="justify"/>
    </xf>
    <xf numFmtId="0" fontId="5" fillId="0" borderId="0" xfId="0" applyFont="1" applyFill="1" applyBorder="1" applyAlignment="1">
      <alignment horizontal="right" vertical="justify"/>
    </xf>
    <xf numFmtId="0" fontId="5" fillId="0" borderId="28" xfId="0" applyFont="1" applyFill="1" applyBorder="1" applyAlignment="1">
      <alignment horizontal="center" vertical="top"/>
    </xf>
    <xf numFmtId="4" fontId="7" fillId="0" borderId="32" xfId="0" applyNumberFormat="1" applyFont="1" applyFill="1" applyBorder="1" applyAlignment="1">
      <alignment horizontal="right" vertical="justify"/>
    </xf>
    <xf numFmtId="4" fontId="40" fillId="0" borderId="33" xfId="0" applyNumberFormat="1" applyFont="1" applyFill="1" applyBorder="1"/>
    <xf numFmtId="0" fontId="5" fillId="0" borderId="0" xfId="0" applyFont="1" applyFill="1" applyAlignment="1">
      <alignment horizontal="right" vertical="justify"/>
    </xf>
    <xf numFmtId="0" fontId="40" fillId="0" borderId="0" xfId="0" applyFont="1" applyFill="1" applyAlignment="1">
      <alignment horizontal="right"/>
    </xf>
    <xf numFmtId="0" fontId="40" fillId="0" borderId="0" xfId="0" applyFont="1" applyFill="1" applyBorder="1" applyAlignment="1">
      <alignment horizontal="center" vertical="top"/>
    </xf>
    <xf numFmtId="0" fontId="40" fillId="0" borderId="0" xfId="0" applyFont="1" applyFill="1" applyAlignment="1">
      <alignment horizontal="right" vertical="justify"/>
    </xf>
    <xf numFmtId="0" fontId="40" fillId="0" borderId="0" xfId="0" applyFont="1" applyFill="1" applyAlignment="1">
      <alignment vertical="justify"/>
    </xf>
    <xf numFmtId="4" fontId="40" fillId="0" borderId="31" xfId="0" applyNumberFormat="1" applyFont="1" applyFill="1" applyBorder="1"/>
    <xf numFmtId="0" fontId="41" fillId="0" borderId="0" xfId="0" applyFont="1" applyFill="1" applyAlignment="1">
      <alignment horizontal="right" vertical="justify"/>
    </xf>
    <xf numFmtId="4" fontId="42" fillId="0" borderId="0" xfId="0" applyNumberFormat="1" applyFont="1" applyFill="1"/>
    <xf numFmtId="4" fontId="41" fillId="0" borderId="0" xfId="0" applyNumberFormat="1" applyFont="1" applyFill="1"/>
    <xf numFmtId="0" fontId="41" fillId="0" borderId="0" xfId="0" applyFont="1" applyFill="1"/>
    <xf numFmtId="4" fontId="21" fillId="0" borderId="16" xfId="0" applyNumberFormat="1" applyFont="1" applyFill="1" applyBorder="1" applyAlignment="1">
      <alignment vertical="top" wrapText="1"/>
    </xf>
    <xf numFmtId="0" fontId="21" fillId="0" borderId="0" xfId="0" applyFont="1"/>
    <xf numFmtId="0" fontId="22" fillId="0" borderId="0" xfId="0" applyFont="1" applyAlignment="1">
      <alignment vertical="top"/>
    </xf>
    <xf numFmtId="0" fontId="22" fillId="0" borderId="0" xfId="0" applyFont="1"/>
    <xf numFmtId="0" fontId="22" fillId="0" borderId="0" xfId="0" applyFont="1" applyAlignment="1">
      <alignment horizontal="center" vertical="top"/>
    </xf>
    <xf numFmtId="0" fontId="20" fillId="0" borderId="0" xfId="0" applyFont="1" applyFill="1" applyAlignment="1">
      <alignment horizontal="center"/>
    </xf>
    <xf numFmtId="0" fontId="21" fillId="0" borderId="13" xfId="0" applyFont="1" applyFill="1" applyBorder="1" applyAlignment="1">
      <alignment vertical="top" wrapText="1"/>
    </xf>
    <xf numFmtId="0" fontId="29" fillId="0" borderId="23" xfId="0" applyFont="1" applyFill="1" applyBorder="1" applyAlignment="1">
      <alignment vertical="top" wrapText="1"/>
    </xf>
    <xf numFmtId="0" fontId="29" fillId="0" borderId="12" xfId="0" applyFont="1" applyFill="1" applyBorder="1" applyAlignment="1">
      <alignment vertical="top" wrapText="1"/>
    </xf>
    <xf numFmtId="0" fontId="21" fillId="0" borderId="21" xfId="0" applyFont="1" applyFill="1" applyBorder="1" applyAlignment="1">
      <alignment vertical="top" wrapText="1"/>
    </xf>
    <xf numFmtId="0" fontId="21" fillId="0" borderId="2" xfId="0" applyFont="1" applyFill="1" applyBorder="1" applyAlignment="1">
      <alignment vertical="top" wrapText="1"/>
    </xf>
    <xf numFmtId="0" fontId="20" fillId="0" borderId="0" xfId="0" applyFont="1" applyFill="1" applyAlignment="1">
      <alignment vertical="top"/>
    </xf>
    <xf numFmtId="0" fontId="21" fillId="0" borderId="0" xfId="0" applyFont="1" applyFill="1" applyBorder="1" applyAlignment="1">
      <alignment horizontal="center" vertical="top" wrapText="1"/>
    </xf>
    <xf numFmtId="0" fontId="20" fillId="0" borderId="0" xfId="0" applyFont="1" applyFill="1" applyAlignment="1"/>
    <xf numFmtId="2" fontId="29" fillId="0" borderId="0" xfId="0" applyNumberFormat="1" applyFont="1" applyFill="1" applyAlignment="1">
      <alignment vertical="top" wrapText="1"/>
    </xf>
    <xf numFmtId="49" fontId="29" fillId="0" borderId="0" xfId="0" applyNumberFormat="1" applyFont="1" applyFill="1" applyAlignment="1">
      <alignment vertical="top" wrapText="1"/>
    </xf>
    <xf numFmtId="49" fontId="13" fillId="0" borderId="0" xfId="0" applyNumberFormat="1" applyFont="1" applyFill="1" applyAlignment="1">
      <alignment vertical="top" wrapText="1"/>
    </xf>
    <xf numFmtId="49" fontId="22" fillId="0" borderId="0" xfId="0" applyNumberFormat="1" applyFont="1" applyFill="1" applyAlignment="1">
      <alignment horizontal="center"/>
    </xf>
    <xf numFmtId="49" fontId="19" fillId="0" borderId="0" xfId="0" applyNumberFormat="1" applyFont="1" applyFill="1"/>
    <xf numFmtId="49" fontId="27" fillId="0" borderId="23" xfId="0" applyNumberFormat="1" applyFont="1" applyFill="1" applyBorder="1" applyAlignment="1">
      <alignment horizontal="center" vertical="center" wrapText="1"/>
    </xf>
    <xf numFmtId="49" fontId="29" fillId="0" borderId="15" xfId="0" quotePrefix="1" applyNumberFormat="1" applyFont="1" applyFill="1" applyBorder="1" applyAlignment="1">
      <alignment horizontal="center" vertical="top" wrapText="1"/>
    </xf>
    <xf numFmtId="49" fontId="29" fillId="0" borderId="23" xfId="0" quotePrefix="1" applyNumberFormat="1" applyFont="1" applyFill="1" applyBorder="1" applyAlignment="1">
      <alignment horizontal="center" vertical="top" wrapText="1"/>
    </xf>
    <xf numFmtId="49" fontId="29" fillId="0" borderId="13" xfId="0" quotePrefix="1" applyNumberFormat="1" applyFont="1" applyFill="1" applyBorder="1" applyAlignment="1">
      <alignment horizontal="center" vertical="top" wrapText="1"/>
    </xf>
    <xf numFmtId="49" fontId="29" fillId="0" borderId="7" xfId="0" quotePrefix="1" applyNumberFormat="1" applyFont="1" applyFill="1" applyBorder="1" applyAlignment="1">
      <alignment horizontal="center" vertical="top" wrapText="1"/>
    </xf>
    <xf numFmtId="49" fontId="29" fillId="0" borderId="12" xfId="0" quotePrefix="1" applyNumberFormat="1" applyFont="1" applyFill="1" applyBorder="1" applyAlignment="1">
      <alignment horizontal="center" vertical="top" wrapText="1"/>
    </xf>
    <xf numFmtId="49" fontId="28" fillId="0" borderId="13" xfId="0" quotePrefix="1" applyNumberFormat="1" applyFont="1" applyFill="1" applyBorder="1" applyAlignment="1">
      <alignment horizontal="center" vertical="top" wrapText="1"/>
    </xf>
    <xf numFmtId="49" fontId="24" fillId="0" borderId="0" xfId="0" applyNumberFormat="1" applyFont="1" applyFill="1" applyAlignment="1">
      <alignment horizontal="center"/>
    </xf>
    <xf numFmtId="49" fontId="20" fillId="0" borderId="0" xfId="0" applyNumberFormat="1" applyFont="1" applyFill="1"/>
    <xf numFmtId="49" fontId="24" fillId="0" borderId="0" xfId="0" applyNumberFormat="1" applyFont="1" applyFill="1"/>
    <xf numFmtId="49" fontId="30" fillId="0" borderId="0" xfId="0" applyNumberFormat="1" applyFont="1" applyFill="1"/>
    <xf numFmtId="49" fontId="31" fillId="0" borderId="0" xfId="0" applyNumberFormat="1" applyFont="1" applyFill="1"/>
    <xf numFmtId="49" fontId="32" fillId="0" borderId="0" xfId="0" applyNumberFormat="1" applyFont="1" applyFill="1"/>
    <xf numFmtId="49" fontId="43" fillId="0" borderId="7" xfId="0" quotePrefix="1" applyNumberFormat="1" applyFont="1" applyFill="1" applyBorder="1" applyAlignment="1">
      <alignment horizontal="center" vertical="top" wrapText="1"/>
    </xf>
    <xf numFmtId="0" fontId="43" fillId="0" borderId="7" xfId="0" quotePrefix="1" applyFont="1" applyFill="1" applyBorder="1" applyAlignment="1">
      <alignment horizontal="center" vertical="top" wrapText="1"/>
    </xf>
    <xf numFmtId="49" fontId="43" fillId="0" borderId="7" xfId="0" applyNumberFormat="1" applyFont="1" applyFill="1" applyBorder="1" applyAlignment="1">
      <alignment horizontal="center" vertical="top" wrapText="1"/>
    </xf>
    <xf numFmtId="0" fontId="43" fillId="0" borderId="7" xfId="0" applyFont="1" applyFill="1" applyBorder="1" applyAlignment="1">
      <alignment vertical="top" wrapText="1"/>
    </xf>
    <xf numFmtId="0" fontId="43" fillId="0" borderId="7" xfId="0" applyFont="1" applyFill="1" applyBorder="1" applyAlignment="1">
      <alignment horizontal="center" vertical="justify" wrapText="1"/>
    </xf>
    <xf numFmtId="0" fontId="43" fillId="0" borderId="6" xfId="0" applyFont="1" applyFill="1" applyBorder="1" applyAlignment="1">
      <alignment horizontal="center" vertical="top" wrapText="1"/>
    </xf>
    <xf numFmtId="4" fontId="43" fillId="0" borderId="6" xfId="0" applyNumberFormat="1" applyFont="1" applyFill="1" applyBorder="1" applyAlignment="1">
      <alignment horizontal="right" vertical="justify" wrapText="1"/>
    </xf>
    <xf numFmtId="4" fontId="43" fillId="0" borderId="6" xfId="0" applyNumberFormat="1" applyFont="1" applyFill="1" applyBorder="1" applyAlignment="1">
      <alignment horizontal="right" vertical="top" wrapText="1"/>
    </xf>
    <xf numFmtId="0" fontId="29" fillId="0" borderId="15" xfId="0" applyFont="1" applyFill="1" applyBorder="1" applyAlignment="1">
      <alignment horizontal="left" vertical="center" wrapText="1"/>
    </xf>
    <xf numFmtId="4" fontId="21" fillId="0" borderId="20" xfId="0" applyNumberFormat="1" applyFont="1" applyFill="1" applyBorder="1" applyAlignment="1">
      <alignment horizontal="right" vertical="justify" wrapText="1"/>
    </xf>
    <xf numFmtId="2" fontId="21" fillId="0" borderId="0" xfId="0" applyNumberFormat="1" applyFont="1" applyFill="1" applyAlignment="1">
      <alignment vertical="top" wrapText="1"/>
    </xf>
    <xf numFmtId="49" fontId="21" fillId="0" borderId="0" xfId="0" applyNumberFormat="1" applyFont="1" applyFill="1" applyAlignment="1">
      <alignment vertical="top" wrapText="1"/>
    </xf>
    <xf numFmtId="49" fontId="20" fillId="0" borderId="0" xfId="0" applyNumberFormat="1" applyFont="1" applyFill="1" applyAlignment="1">
      <alignment horizontal="center" vertical="top" wrapText="1"/>
    </xf>
    <xf numFmtId="49" fontId="21" fillId="0" borderId="0" xfId="0" applyNumberFormat="1" applyFont="1" applyFill="1" applyAlignment="1">
      <alignment wrapText="1"/>
    </xf>
    <xf numFmtId="49" fontId="28" fillId="0" borderId="0" xfId="0" applyNumberFormat="1" applyFont="1" applyFill="1" applyAlignment="1">
      <alignment vertical="top"/>
    </xf>
    <xf numFmtId="49" fontId="44" fillId="0" borderId="0" xfId="0" applyNumberFormat="1" applyFont="1" applyFill="1" applyAlignment="1">
      <alignment vertical="top"/>
    </xf>
    <xf numFmtId="49" fontId="45" fillId="0" borderId="12" xfId="0" quotePrefix="1" applyNumberFormat="1" applyFont="1" applyFill="1" applyBorder="1" applyAlignment="1">
      <alignment horizontal="center" vertical="top" wrapText="1"/>
    </xf>
    <xf numFmtId="49" fontId="45" fillId="0" borderId="12" xfId="0" applyNumberFormat="1" applyFont="1" applyFill="1" applyBorder="1" applyAlignment="1">
      <alignment horizontal="center" vertical="top" wrapText="1"/>
    </xf>
    <xf numFmtId="0" fontId="45" fillId="0" borderId="12" xfId="0" applyFont="1" applyFill="1" applyBorder="1" applyAlignment="1">
      <alignment vertical="top" wrapText="1"/>
    </xf>
    <xf numFmtId="0" fontId="45" fillId="0" borderId="12" xfId="0" applyFont="1" applyFill="1" applyBorder="1" applyAlignment="1">
      <alignment horizontal="center" vertical="justify" wrapText="1"/>
    </xf>
    <xf numFmtId="0" fontId="46" fillId="0" borderId="11" xfId="0" applyFont="1" applyFill="1" applyBorder="1" applyAlignment="1">
      <alignment horizontal="center" vertical="top" wrapText="1"/>
    </xf>
    <xf numFmtId="4" fontId="46" fillId="0" borderId="11" xfId="0" applyNumberFormat="1" applyFont="1" applyFill="1" applyBorder="1" applyAlignment="1">
      <alignment horizontal="right" vertical="top" wrapText="1"/>
    </xf>
    <xf numFmtId="0" fontId="46" fillId="0" borderId="0" xfId="0" applyFont="1" applyFill="1"/>
    <xf numFmtId="0" fontId="20" fillId="0" borderId="20" xfId="0" applyFont="1" applyFill="1" applyBorder="1" applyAlignment="1">
      <alignment horizontal="center" vertical="top" wrapText="1"/>
    </xf>
    <xf numFmtId="4" fontId="20" fillId="0" borderId="20" xfId="0" applyNumberFormat="1" applyFont="1" applyFill="1" applyBorder="1" applyAlignment="1">
      <alignment horizontal="right" vertical="top" wrapText="1"/>
    </xf>
    <xf numFmtId="4" fontId="20" fillId="0" borderId="6" xfId="0" applyNumberFormat="1" applyFont="1" applyFill="1" applyBorder="1" applyAlignment="1">
      <alignment horizontal="right" vertical="top" wrapText="1"/>
    </xf>
    <xf numFmtId="49" fontId="20" fillId="0" borderId="0" xfId="0" applyNumberFormat="1" applyFont="1" applyFill="1" applyAlignment="1">
      <alignment vertical="top"/>
    </xf>
    <xf numFmtId="4" fontId="21" fillId="0" borderId="17" xfId="0" applyNumberFormat="1" applyFont="1" applyFill="1" applyBorder="1" applyAlignment="1">
      <alignment horizontal="right" vertical="top" wrapText="1"/>
    </xf>
    <xf numFmtId="0" fontId="21" fillId="0" borderId="20" xfId="0" applyFont="1" applyFill="1" applyBorder="1" applyAlignment="1">
      <alignment horizontal="center" vertical="top" wrapText="1"/>
    </xf>
    <xf numFmtId="4" fontId="28" fillId="0" borderId="18" xfId="0" applyNumberFormat="1" applyFont="1" applyFill="1" applyBorder="1" applyAlignment="1">
      <alignment horizontal="right" vertical="top" wrapText="1"/>
    </xf>
    <xf numFmtId="0" fontId="21" fillId="0" borderId="14" xfId="0" applyFont="1" applyFill="1" applyBorder="1" applyAlignment="1">
      <alignment horizontal="center" vertical="top" wrapText="1"/>
    </xf>
    <xf numFmtId="4" fontId="21" fillId="0" borderId="25" xfId="0" applyNumberFormat="1" applyFont="1" applyFill="1" applyBorder="1" applyAlignment="1">
      <alignment horizontal="right" vertical="top" wrapText="1"/>
    </xf>
    <xf numFmtId="49" fontId="21" fillId="0" borderId="0" xfId="0" applyNumberFormat="1" applyFont="1" applyFill="1" applyAlignment="1">
      <alignment vertical="top"/>
    </xf>
    <xf numFmtId="4" fontId="21" fillId="0" borderId="16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 vertical="justify" wrapText="1"/>
    </xf>
    <xf numFmtId="0" fontId="23" fillId="0" borderId="0" xfId="0" applyFont="1" applyFill="1" applyAlignment="1">
      <alignment vertical="top" wrapText="1"/>
    </xf>
    <xf numFmtId="0" fontId="24" fillId="0" borderId="0" xfId="0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30" fillId="0" borderId="0" xfId="0" applyFont="1" applyFill="1" applyAlignment="1">
      <alignment vertical="top" wrapText="1"/>
    </xf>
    <xf numFmtId="0" fontId="32" fillId="0" borderId="0" xfId="0" applyFont="1" applyFill="1" applyAlignment="1">
      <alignment vertical="top" wrapText="1"/>
    </xf>
    <xf numFmtId="0" fontId="20" fillId="0" borderId="0" xfId="0" applyFont="1" applyFill="1" applyAlignment="1">
      <alignment horizontal="center" vertical="justify"/>
    </xf>
    <xf numFmtId="0" fontId="20" fillId="0" borderId="15" xfId="0" applyFont="1" applyFill="1" applyBorder="1" applyAlignment="1">
      <alignment horizontal="center" vertical="justify" wrapText="1"/>
    </xf>
    <xf numFmtId="0" fontId="7" fillId="0" borderId="0" xfId="0" applyFont="1" applyFill="1" applyAlignment="1">
      <alignment horizontal="right" vertical="justify"/>
    </xf>
    <xf numFmtId="0" fontId="7" fillId="0" borderId="1" xfId="0" applyFont="1" applyFill="1" applyBorder="1" applyAlignment="1">
      <alignment horizontal="right" vertical="justify"/>
    </xf>
    <xf numFmtId="0" fontId="47" fillId="0" borderId="0" xfId="0" applyFont="1" applyFill="1" applyAlignment="1">
      <alignment horizontal="right" vertical="justify"/>
    </xf>
    <xf numFmtId="4" fontId="29" fillId="0" borderId="18" xfId="0" applyNumberFormat="1" applyFont="1" applyFill="1" applyBorder="1" applyAlignment="1">
      <alignment horizontal="right" vertical="top" wrapText="1"/>
    </xf>
    <xf numFmtId="4" fontId="29" fillId="0" borderId="7" xfId="0" applyNumberFormat="1" applyFont="1" applyFill="1" applyBorder="1" applyAlignment="1">
      <alignment horizontal="center" vertical="justify" wrapText="1"/>
    </xf>
    <xf numFmtId="4" fontId="29" fillId="0" borderId="6" xfId="0" applyNumberFormat="1" applyFont="1" applyFill="1" applyBorder="1" applyAlignment="1">
      <alignment horizontal="center" vertical="top" wrapText="1"/>
    </xf>
    <xf numFmtId="4" fontId="29" fillId="0" borderId="8" xfId="0" applyNumberFormat="1" applyFont="1" applyFill="1" applyBorder="1" applyAlignment="1">
      <alignment horizontal="right" vertical="top" wrapText="1"/>
    </xf>
    <xf numFmtId="0" fontId="29" fillId="0" borderId="7" xfId="0" applyFont="1" applyFill="1" applyBorder="1"/>
    <xf numFmtId="0" fontId="21" fillId="0" borderId="15" xfId="0" applyFont="1" applyFill="1" applyBorder="1" applyAlignment="1">
      <alignment horizontal="left" vertical="top" wrapText="1"/>
    </xf>
    <xf numFmtId="14" fontId="20" fillId="0" borderId="4" xfId="0" applyNumberFormat="1" applyFont="1" applyFill="1" applyBorder="1" applyAlignment="1">
      <alignment horizontal="center" vertical="top" wrapText="1"/>
    </xf>
    <xf numFmtId="4" fontId="20" fillId="0" borderId="9" xfId="0" applyNumberFormat="1" applyFont="1" applyFill="1" applyBorder="1" applyAlignment="1">
      <alignment horizontal="right" vertical="top" wrapText="1"/>
    </xf>
    <xf numFmtId="49" fontId="21" fillId="0" borderId="21" xfId="0" quotePrefix="1" applyNumberFormat="1" applyFont="1" applyFill="1" applyBorder="1" applyAlignment="1">
      <alignment horizontal="center" vertical="top" wrapText="1"/>
    </xf>
    <xf numFmtId="0" fontId="21" fillId="0" borderId="21" xfId="0" applyFont="1" applyFill="1" applyBorder="1" applyAlignment="1">
      <alignment horizontal="center" vertical="justify" wrapText="1"/>
    </xf>
    <xf numFmtId="0" fontId="21" fillId="0" borderId="23" xfId="0" applyFont="1" applyFill="1" applyBorder="1" applyAlignment="1">
      <alignment horizontal="center" vertical="top" wrapText="1"/>
    </xf>
    <xf numFmtId="49" fontId="21" fillId="0" borderId="23" xfId="0" applyNumberFormat="1" applyFont="1" applyFill="1" applyBorder="1" applyAlignment="1">
      <alignment horizontal="center" vertical="top" wrapText="1"/>
    </xf>
    <xf numFmtId="0" fontId="21" fillId="0" borderId="23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justify"/>
    </xf>
    <xf numFmtId="0" fontId="26" fillId="0" borderId="2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7" fillId="0" borderId="27" xfId="0" applyFont="1" applyFill="1" applyBorder="1" applyAlignment="1">
      <alignment horizontal="center" vertical="top"/>
    </xf>
    <xf numFmtId="4" fontId="42" fillId="0" borderId="0" xfId="0" applyNumberFormat="1" applyFont="1" applyFill="1" applyAlignment="1">
      <alignment horizontal="center" vertical="center"/>
    </xf>
    <xf numFmtId="4" fontId="42" fillId="0" borderId="1" xfId="0" applyNumberFormat="1" applyFont="1" applyFill="1" applyBorder="1"/>
    <xf numFmtId="49" fontId="21" fillId="0" borderId="23" xfId="0" quotePrefix="1" applyNumberFormat="1" applyFont="1" applyFill="1" applyBorder="1" applyAlignment="1">
      <alignment horizontal="center" vertical="top" wrapText="1"/>
    </xf>
    <xf numFmtId="0" fontId="21" fillId="0" borderId="23" xfId="0" quotePrefix="1" applyFont="1" applyFill="1" applyBorder="1" applyAlignment="1">
      <alignment horizontal="center" vertical="top" wrapText="1"/>
    </xf>
    <xf numFmtId="4" fontId="0" fillId="0" borderId="0" xfId="0" applyNumberFormat="1"/>
    <xf numFmtId="0" fontId="0" fillId="0" borderId="0" xfId="0" applyNumberFormat="1" applyAlignment="1">
      <alignment horizontal="center"/>
    </xf>
    <xf numFmtId="4" fontId="48" fillId="0" borderId="0" xfId="0" applyNumberFormat="1" applyFont="1"/>
    <xf numFmtId="0" fontId="48" fillId="0" borderId="0" xfId="0" applyNumberFormat="1" applyFont="1" applyAlignment="1">
      <alignment horizontal="center"/>
    </xf>
    <xf numFmtId="0" fontId="48" fillId="0" borderId="0" xfId="0" applyFont="1"/>
    <xf numFmtId="4" fontId="49" fillId="0" borderId="0" xfId="0" applyNumberFormat="1" applyFont="1"/>
    <xf numFmtId="0" fontId="20" fillId="0" borderId="2" xfId="0" applyFont="1" applyFill="1" applyBorder="1" applyAlignment="1">
      <alignment horizontal="center" vertical="justify"/>
    </xf>
    <xf numFmtId="4" fontId="21" fillId="0" borderId="12" xfId="0" applyNumberFormat="1" applyFont="1" applyFill="1" applyBorder="1" applyAlignment="1">
      <alignment horizontal="right" vertical="justify" wrapText="1"/>
    </xf>
    <xf numFmtId="0" fontId="20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21" fillId="0" borderId="21" xfId="0" quotePrefix="1" applyFont="1" applyFill="1" applyBorder="1" applyAlignment="1">
      <alignment vertical="top" wrapText="1"/>
    </xf>
    <xf numFmtId="4" fontId="50" fillId="0" borderId="0" xfId="0" applyNumberFormat="1" applyFont="1" applyFill="1" applyBorder="1" applyAlignment="1">
      <alignment vertical="center" wrapText="1"/>
    </xf>
    <xf numFmtId="4" fontId="51" fillId="0" borderId="0" xfId="0" applyNumberFormat="1" applyFont="1" applyFill="1" applyBorder="1" applyAlignment="1">
      <alignment vertical="center" wrapText="1"/>
    </xf>
    <xf numFmtId="0" fontId="51" fillId="0" borderId="0" xfId="0" applyFont="1"/>
    <xf numFmtId="0" fontId="51" fillId="0" borderId="0" xfId="0" applyFont="1" applyAlignment="1">
      <alignment horizontal="left"/>
    </xf>
    <xf numFmtId="4" fontId="51" fillId="0" borderId="0" xfId="0" applyNumberFormat="1" applyFont="1"/>
    <xf numFmtId="0" fontId="52" fillId="0" borderId="0" xfId="0" applyFont="1" applyFill="1" applyAlignment="1"/>
    <xf numFmtId="0" fontId="26" fillId="0" borderId="36" xfId="0" applyFont="1" applyFill="1" applyBorder="1" applyAlignment="1">
      <alignment horizontal="center" vertical="top" wrapText="1"/>
    </xf>
    <xf numFmtId="0" fontId="26" fillId="0" borderId="14" xfId="0" applyFont="1" applyFill="1" applyBorder="1" applyAlignment="1">
      <alignment horizontal="center" vertical="top" wrapText="1"/>
    </xf>
    <xf numFmtId="0" fontId="26" fillId="0" borderId="34" xfId="0" applyFont="1" applyFill="1" applyBorder="1" applyAlignment="1">
      <alignment horizontal="center" vertical="top" wrapText="1"/>
    </xf>
    <xf numFmtId="0" fontId="26" fillId="0" borderId="22" xfId="0" applyFont="1" applyFill="1" applyBorder="1" applyAlignment="1">
      <alignment horizontal="center" vertical="top" wrapText="1"/>
    </xf>
    <xf numFmtId="0" fontId="34" fillId="0" borderId="38" xfId="0" applyFont="1" applyFill="1" applyBorder="1" applyAlignment="1">
      <alignment horizontal="center" vertical="top" wrapText="1"/>
    </xf>
    <xf numFmtId="0" fontId="34" fillId="0" borderId="39" xfId="0" applyFont="1" applyFill="1" applyBorder="1" applyAlignment="1">
      <alignment horizontal="center" vertical="top" wrapText="1"/>
    </xf>
    <xf numFmtId="0" fontId="34" fillId="0" borderId="40" xfId="0" applyFont="1" applyFill="1" applyBorder="1" applyAlignment="1">
      <alignment horizontal="center" vertical="top" wrapText="1"/>
    </xf>
    <xf numFmtId="4" fontId="7" fillId="2" borderId="31" xfId="0" applyNumberFormat="1" applyFont="1" applyFill="1" applyBorder="1" applyAlignment="1">
      <alignment horizontal="center" vertical="justify"/>
    </xf>
    <xf numFmtId="0" fontId="7" fillId="2" borderId="37" xfId="0" applyFont="1" applyFill="1" applyBorder="1" applyAlignment="1">
      <alignment horizontal="center" vertical="justify"/>
    </xf>
    <xf numFmtId="0" fontId="7" fillId="2" borderId="33" xfId="0" applyFont="1" applyFill="1" applyBorder="1" applyAlignment="1">
      <alignment horizontal="center" vertical="justify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justify" wrapText="1"/>
    </xf>
    <xf numFmtId="0" fontId="20" fillId="0" borderId="0" xfId="0" applyFont="1" applyFill="1" applyAlignment="1">
      <alignment horizontal="center" vertical="justify"/>
    </xf>
    <xf numFmtId="0" fontId="20" fillId="0" borderId="0" xfId="0" applyFont="1" applyFill="1" applyAlignment="1">
      <alignment horizontal="center" vertical="top"/>
    </xf>
    <xf numFmtId="0" fontId="25" fillId="0" borderId="41" xfId="0" applyFont="1" applyFill="1" applyBorder="1" applyAlignment="1">
      <alignment horizontal="center" vertical="top" wrapText="1"/>
    </xf>
    <xf numFmtId="0" fontId="25" fillId="0" borderId="21" xfId="0" applyFont="1" applyFill="1" applyBorder="1" applyAlignment="1">
      <alignment horizontal="center" vertical="top" wrapText="1"/>
    </xf>
    <xf numFmtId="0" fontId="26" fillId="0" borderId="41" xfId="0" applyFont="1" applyFill="1" applyBorder="1" applyAlignment="1">
      <alignment horizontal="center" vertical="top" wrapText="1"/>
    </xf>
    <xf numFmtId="0" fontId="26" fillId="0" borderId="21" xfId="0" applyFont="1" applyFill="1" applyBorder="1" applyAlignment="1">
      <alignment horizontal="center" vertical="top" wrapText="1"/>
    </xf>
    <xf numFmtId="49" fontId="25" fillId="0" borderId="41" xfId="0" applyNumberFormat="1" applyFont="1" applyFill="1" applyBorder="1" applyAlignment="1">
      <alignment horizontal="center" vertical="top" wrapText="1"/>
    </xf>
    <xf numFmtId="49" fontId="25" fillId="0" borderId="21" xfId="0" applyNumberFormat="1" applyFont="1" applyFill="1" applyBorder="1" applyAlignment="1">
      <alignment horizontal="center" vertical="top" wrapText="1"/>
    </xf>
    <xf numFmtId="4" fontId="51" fillId="0" borderId="0" xfId="0" applyNumberFormat="1" applyFont="1" applyFill="1" applyBorder="1" applyAlignment="1">
      <alignment horizontal="center" vertical="center" wrapText="1"/>
    </xf>
    <xf numFmtId="4" fontId="51" fillId="0" borderId="0" xfId="0" quotePrefix="1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top" wrapText="1"/>
    </xf>
    <xf numFmtId="4" fontId="34" fillId="2" borderId="31" xfId="0" applyNumberFormat="1" applyFont="1" applyFill="1" applyBorder="1" applyAlignment="1">
      <alignment horizontal="center" vertical="justify"/>
    </xf>
    <xf numFmtId="0" fontId="34" fillId="2" borderId="37" xfId="0" applyFont="1" applyFill="1" applyBorder="1" applyAlignment="1">
      <alignment horizontal="center" vertical="justify"/>
    </xf>
    <xf numFmtId="0" fontId="34" fillId="2" borderId="33" xfId="0" applyFont="1" applyFill="1" applyBorder="1" applyAlignment="1">
      <alignment horizontal="center" vertical="justify"/>
    </xf>
    <xf numFmtId="0" fontId="34" fillId="0" borderId="39" xfId="0" applyFont="1" applyFill="1" applyBorder="1" applyAlignment="1">
      <alignment horizontal="center" vertical="top"/>
    </xf>
    <xf numFmtId="0" fontId="34" fillId="0" borderId="4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20" fillId="0" borderId="34" xfId="0" applyFont="1" applyFill="1" applyBorder="1" applyAlignment="1">
      <alignment horizontal="center" wrapText="1"/>
    </xf>
    <xf numFmtId="0" fontId="20" fillId="0" borderId="35" xfId="0" applyFont="1" applyFill="1" applyBorder="1" applyAlignment="1">
      <alignment horizontal="center" wrapText="1"/>
    </xf>
    <xf numFmtId="0" fontId="20" fillId="0" borderId="22" xfId="0" applyFont="1" applyFill="1" applyBorder="1" applyAlignment="1">
      <alignment horizontal="center" vertical="justify" wrapText="1"/>
    </xf>
  </cellXfs>
  <cellStyles count="4">
    <cellStyle name="Звичайний" xfId="0" builtinId="0"/>
    <cellStyle name="Обычный 2" xfId="2" xr:uid="{00000000-0005-0000-0000-000001000000}"/>
    <cellStyle name="Обычный 3" xfId="3" xr:uid="{00000000-0005-0000-0000-000002000000}"/>
    <cellStyle name="Фінансовий" xfId="1" builtinId="3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445"/>
  <sheetViews>
    <sheetView showZeros="0" tabSelected="1" view="pageBreakPreview" topLeftCell="A334" zoomScale="70" zoomScaleNormal="43" zoomScaleSheetLayoutView="70" zoomScalePageLayoutView="40" workbookViewId="0">
      <selection activeCell="L403" sqref="L403"/>
    </sheetView>
  </sheetViews>
  <sheetFormatPr defaultColWidth="9.140625" defaultRowHeight="18.75" x14ac:dyDescent="0.2"/>
  <cols>
    <col min="1" max="1" width="5.7109375" style="65" customWidth="1"/>
    <col min="2" max="2" width="6.5703125" style="69" customWidth="1"/>
    <col min="3" max="3" width="0.42578125" style="4" customWidth="1"/>
    <col min="4" max="4" width="16.85546875" style="326" customWidth="1"/>
    <col min="5" max="6" width="15.42578125" style="71" customWidth="1"/>
    <col min="7" max="7" width="62" style="378" customWidth="1"/>
    <col min="8" max="8" width="53.28515625" style="72" customWidth="1"/>
    <col min="9" max="9" width="29.85546875" style="73" customWidth="1"/>
    <col min="10" max="10" width="21.85546875" style="72" customWidth="1"/>
    <col min="11" max="11" width="21.85546875" style="71" customWidth="1"/>
    <col min="12" max="12" width="20.42578125" style="71" customWidth="1"/>
    <col min="13" max="13" width="21.85546875" style="71" customWidth="1"/>
    <col min="14" max="16384" width="9.140625" style="71"/>
  </cols>
  <sheetData>
    <row r="1" spans="1:13" ht="71.25" customHeight="1" x14ac:dyDescent="0.3">
      <c r="D1" s="436" t="s">
        <v>337</v>
      </c>
      <c r="E1" s="436"/>
      <c r="F1" s="436"/>
      <c r="G1" s="437"/>
      <c r="H1" s="438"/>
      <c r="I1" s="439"/>
      <c r="J1" s="438"/>
      <c r="K1" s="436"/>
      <c r="L1" s="436"/>
      <c r="M1" s="436"/>
    </row>
    <row r="2" spans="1:13" x14ac:dyDescent="0.3">
      <c r="D2" s="70" t="s">
        <v>275</v>
      </c>
      <c r="E2" s="313"/>
      <c r="F2" s="273"/>
      <c r="G2" s="375"/>
      <c r="H2" s="381"/>
      <c r="I2" s="416"/>
      <c r="J2" s="400"/>
      <c r="K2" s="399"/>
      <c r="L2" s="399"/>
      <c r="M2" s="399"/>
    </row>
    <row r="3" spans="1:13" x14ac:dyDescent="0.3">
      <c r="D3" s="325" t="s">
        <v>189</v>
      </c>
      <c r="E3" s="313"/>
      <c r="F3" s="273"/>
      <c r="G3" s="375"/>
      <c r="H3" s="381"/>
      <c r="I3" s="416"/>
      <c r="J3" s="400"/>
      <c r="K3" s="399"/>
      <c r="L3" s="399"/>
      <c r="M3" s="399"/>
    </row>
    <row r="4" spans="1:13" ht="19.5" thickBot="1" x14ac:dyDescent="0.3">
      <c r="G4" s="376"/>
      <c r="M4" s="74" t="s">
        <v>3</v>
      </c>
    </row>
    <row r="5" spans="1:13" s="102" customFormat="1" ht="19.5" thickBot="1" x14ac:dyDescent="0.25">
      <c r="A5" s="66"/>
      <c r="B5" s="352"/>
      <c r="C5" s="5"/>
      <c r="D5" s="444" t="s">
        <v>132</v>
      </c>
      <c r="E5" s="440" t="s">
        <v>187</v>
      </c>
      <c r="F5" s="440" t="s">
        <v>188</v>
      </c>
      <c r="G5" s="442" t="s">
        <v>100</v>
      </c>
      <c r="H5" s="442" t="s">
        <v>94</v>
      </c>
      <c r="I5" s="426" t="s">
        <v>95</v>
      </c>
      <c r="J5" s="426" t="s">
        <v>96</v>
      </c>
      <c r="K5" s="426" t="s">
        <v>0</v>
      </c>
      <c r="L5" s="428" t="s">
        <v>1</v>
      </c>
      <c r="M5" s="429"/>
    </row>
    <row r="6" spans="1:13" s="102" customFormat="1" ht="87.75" customHeight="1" thickBot="1" x14ac:dyDescent="0.25">
      <c r="A6" s="66"/>
      <c r="B6" s="352"/>
      <c r="C6" s="5"/>
      <c r="D6" s="445"/>
      <c r="E6" s="441"/>
      <c r="F6" s="441"/>
      <c r="G6" s="443"/>
      <c r="H6" s="443"/>
      <c r="I6" s="427"/>
      <c r="J6" s="427"/>
      <c r="K6" s="427"/>
      <c r="L6" s="401" t="s">
        <v>97</v>
      </c>
      <c r="M6" s="401" t="s">
        <v>98</v>
      </c>
    </row>
    <row r="7" spans="1:13" s="103" customFormat="1" ht="23.25" hidden="1" customHeight="1" thickBot="1" x14ac:dyDescent="0.25">
      <c r="A7" s="67"/>
      <c r="B7" s="67"/>
      <c r="C7" s="5"/>
      <c r="D7" s="327">
        <v>1</v>
      </c>
      <c r="E7" s="75">
        <v>2</v>
      </c>
      <c r="F7" s="75">
        <v>3</v>
      </c>
      <c r="G7" s="76">
        <v>4</v>
      </c>
      <c r="H7" s="76">
        <v>5</v>
      </c>
      <c r="I7" s="77">
        <v>6</v>
      </c>
      <c r="J7" s="77">
        <v>7</v>
      </c>
      <c r="K7" s="77">
        <v>8</v>
      </c>
      <c r="L7" s="77">
        <v>9</v>
      </c>
      <c r="M7" s="77">
        <v>10</v>
      </c>
    </row>
    <row r="8" spans="1:13" s="104" customFormat="1" ht="62.25" customHeight="1" x14ac:dyDescent="0.3">
      <c r="A8" s="68" t="str">
        <f>IF(J8=0,"","п")</f>
        <v>п</v>
      </c>
      <c r="B8" s="69"/>
      <c r="C8" s="10"/>
      <c r="D8" s="79"/>
      <c r="E8" s="78"/>
      <c r="F8" s="79"/>
      <c r="G8" s="80"/>
      <c r="H8" s="81" t="s">
        <v>206</v>
      </c>
      <c r="I8" s="82" t="s">
        <v>285</v>
      </c>
      <c r="J8" s="83">
        <f>+K8+L8</f>
        <v>25778602</v>
      </c>
      <c r="K8" s="84">
        <f>+K9+K15</f>
        <v>25778602</v>
      </c>
      <c r="L8" s="85">
        <f>+L9+L15</f>
        <v>0</v>
      </c>
      <c r="M8" s="85">
        <f>+M9+M15</f>
        <v>0</v>
      </c>
    </row>
    <row r="9" spans="1:13" s="105" customFormat="1" ht="29.25" customHeight="1" x14ac:dyDescent="0.3">
      <c r="A9" s="68" t="str">
        <f t="shared" ref="A9:C104" si="0">IF(J9=0,"","п")</f>
        <v>п</v>
      </c>
      <c r="B9" s="69" t="s">
        <v>147</v>
      </c>
      <c r="C9" s="33"/>
      <c r="D9" s="86" t="s">
        <v>15</v>
      </c>
      <c r="E9" s="87"/>
      <c r="F9" s="87"/>
      <c r="G9" s="88" t="s">
        <v>369</v>
      </c>
      <c r="H9" s="89"/>
      <c r="I9" s="90"/>
      <c r="J9" s="91">
        <f t="shared" ref="J9:J88" si="1">+K9+L9</f>
        <v>16420000</v>
      </c>
      <c r="K9" s="92">
        <f>K10</f>
        <v>16420000</v>
      </c>
      <c r="L9" s="93">
        <f>L10</f>
        <v>0</v>
      </c>
      <c r="M9" s="93">
        <f>M10</f>
        <v>0</v>
      </c>
    </row>
    <row r="10" spans="1:13" s="105" customFormat="1" ht="29.25" customHeight="1" x14ac:dyDescent="0.3">
      <c r="A10" s="68" t="str">
        <f t="shared" si="0"/>
        <v>п</v>
      </c>
      <c r="B10" s="69" t="s">
        <v>147</v>
      </c>
      <c r="C10" s="33"/>
      <c r="D10" s="86" t="s">
        <v>14</v>
      </c>
      <c r="E10" s="87"/>
      <c r="F10" s="87"/>
      <c r="G10" s="88" t="s">
        <v>369</v>
      </c>
      <c r="H10" s="89"/>
      <c r="I10" s="90"/>
      <c r="J10" s="91">
        <f>+K10+L10</f>
        <v>16420000</v>
      </c>
      <c r="K10" s="92">
        <f>SUM(K11)</f>
        <v>16420000</v>
      </c>
      <c r="L10" s="92">
        <f>SUM(L11)</f>
        <v>0</v>
      </c>
      <c r="M10" s="92">
        <f>SUM(M11)</f>
        <v>0</v>
      </c>
    </row>
    <row r="11" spans="1:13" s="104" customFormat="1" ht="37.5" x14ac:dyDescent="0.3">
      <c r="A11" s="68" t="str">
        <f t="shared" si="0"/>
        <v>п</v>
      </c>
      <c r="B11" s="69" t="s">
        <v>147</v>
      </c>
      <c r="C11" s="33" t="s">
        <v>120</v>
      </c>
      <c r="D11" s="118" t="s">
        <v>155</v>
      </c>
      <c r="E11" s="94" t="s">
        <v>156</v>
      </c>
      <c r="F11" s="95" t="s">
        <v>129</v>
      </c>
      <c r="G11" s="96" t="s">
        <v>70</v>
      </c>
      <c r="H11" s="97"/>
      <c r="I11" s="98"/>
      <c r="J11" s="99">
        <f t="shared" si="1"/>
        <v>16420000</v>
      </c>
      <c r="K11" s="100">
        <f>16000000+420000</f>
        <v>16420000</v>
      </c>
      <c r="L11" s="101"/>
      <c r="M11" s="101"/>
    </row>
    <row r="12" spans="1:13" s="26" customFormat="1" ht="46.5" hidden="1" customHeight="1" x14ac:dyDescent="0.3">
      <c r="A12" s="68" t="str">
        <f t="shared" si="0"/>
        <v/>
      </c>
      <c r="B12" s="69" t="s">
        <v>147</v>
      </c>
      <c r="C12" s="9" t="str">
        <f t="shared" si="0"/>
        <v/>
      </c>
      <c r="D12" s="328"/>
      <c r="E12" s="260"/>
      <c r="F12" s="190"/>
      <c r="G12" s="125" t="s">
        <v>10</v>
      </c>
      <c r="H12" s="266"/>
      <c r="I12" s="48"/>
      <c r="J12" s="128">
        <f t="shared" si="1"/>
        <v>0</v>
      </c>
      <c r="K12" s="194"/>
      <c r="L12" s="259"/>
      <c r="M12" s="259"/>
    </row>
    <row r="13" spans="1:13" s="26" customFormat="1" ht="46.5" hidden="1" customHeight="1" x14ac:dyDescent="0.3">
      <c r="A13" s="68" t="str">
        <f t="shared" si="0"/>
        <v/>
      </c>
      <c r="B13" s="69" t="s">
        <v>147</v>
      </c>
      <c r="C13" s="9"/>
      <c r="D13" s="328"/>
      <c r="E13" s="260"/>
      <c r="F13" s="190"/>
      <c r="G13" s="125" t="s">
        <v>118</v>
      </c>
      <c r="H13" s="266"/>
      <c r="I13" s="48"/>
      <c r="J13" s="128">
        <f t="shared" si="1"/>
        <v>0</v>
      </c>
      <c r="K13" s="194"/>
      <c r="L13" s="259"/>
      <c r="M13" s="259"/>
    </row>
    <row r="14" spans="1:13" s="26" customFormat="1" ht="45.75" hidden="1" customHeight="1" x14ac:dyDescent="0.3">
      <c r="A14" s="9" t="str">
        <f t="shared" si="0"/>
        <v/>
      </c>
      <c r="B14" s="69" t="s">
        <v>147</v>
      </c>
      <c r="C14" s="34"/>
      <c r="D14" s="328"/>
      <c r="E14" s="260"/>
      <c r="F14" s="190"/>
      <c r="G14" s="125" t="s">
        <v>281</v>
      </c>
      <c r="H14" s="266"/>
      <c r="I14" s="48"/>
      <c r="J14" s="128">
        <f t="shared" si="1"/>
        <v>0</v>
      </c>
      <c r="K14" s="194"/>
      <c r="L14" s="259"/>
      <c r="M14" s="259"/>
    </row>
    <row r="15" spans="1:13" s="105" customFormat="1" ht="39" x14ac:dyDescent="0.3">
      <c r="A15" s="68" t="str">
        <f t="shared" si="0"/>
        <v>п</v>
      </c>
      <c r="B15" s="69" t="s">
        <v>148</v>
      </c>
      <c r="C15" s="10"/>
      <c r="D15" s="106" t="s">
        <v>16</v>
      </c>
      <c r="E15" s="106"/>
      <c r="F15" s="106"/>
      <c r="G15" s="107" t="s">
        <v>370</v>
      </c>
      <c r="H15" s="108"/>
      <c r="I15" s="109"/>
      <c r="J15" s="110">
        <f>+K15+L15</f>
        <v>9358602</v>
      </c>
      <c r="K15" s="111">
        <f>+K16</f>
        <v>9358602</v>
      </c>
      <c r="L15" s="112">
        <f>+L16</f>
        <v>0</v>
      </c>
      <c r="M15" s="112">
        <f>+M16</f>
        <v>0</v>
      </c>
    </row>
    <row r="16" spans="1:13" s="105" customFormat="1" ht="39" x14ac:dyDescent="0.3">
      <c r="A16" s="68" t="str">
        <f t="shared" si="0"/>
        <v>п</v>
      </c>
      <c r="C16" s="10"/>
      <c r="D16" s="106" t="s">
        <v>17</v>
      </c>
      <c r="E16" s="106"/>
      <c r="F16" s="106"/>
      <c r="G16" s="107" t="s">
        <v>370</v>
      </c>
      <c r="H16" s="108"/>
      <c r="I16" s="109"/>
      <c r="J16" s="110">
        <f t="shared" si="1"/>
        <v>9358602</v>
      </c>
      <c r="K16" s="111">
        <f>SUM(K17:K25)-K23-K25</f>
        <v>9358602</v>
      </c>
      <c r="L16" s="111">
        <f>SUM(L17:L25)</f>
        <v>0</v>
      </c>
      <c r="M16" s="111">
        <f>SUM(M17:M25)</f>
        <v>0</v>
      </c>
    </row>
    <row r="17" spans="1:13" s="104" customFormat="1" ht="21.95" hidden="1" customHeight="1" x14ac:dyDescent="0.3">
      <c r="A17" s="68" t="str">
        <f t="shared" si="0"/>
        <v/>
      </c>
      <c r="B17" s="69" t="s">
        <v>148</v>
      </c>
      <c r="C17" s="69"/>
      <c r="D17" s="118"/>
      <c r="E17" s="94"/>
      <c r="F17" s="95"/>
      <c r="G17" s="96"/>
      <c r="H17" s="122"/>
      <c r="I17" s="98"/>
      <c r="J17" s="98">
        <f t="shared" si="1"/>
        <v>0</v>
      </c>
      <c r="K17" s="100"/>
      <c r="L17" s="113"/>
      <c r="M17" s="113"/>
    </row>
    <row r="18" spans="1:13" s="104" customFormat="1" ht="37.5" x14ac:dyDescent="0.3">
      <c r="A18" s="68" t="str">
        <f t="shared" si="0"/>
        <v>п</v>
      </c>
      <c r="B18" s="69" t="s">
        <v>148</v>
      </c>
      <c r="C18" s="10"/>
      <c r="D18" s="118" t="s">
        <v>18</v>
      </c>
      <c r="E18" s="94" t="s">
        <v>19</v>
      </c>
      <c r="F18" s="95" t="s">
        <v>143</v>
      </c>
      <c r="G18" s="96" t="s">
        <v>20</v>
      </c>
      <c r="H18" s="97"/>
      <c r="I18" s="98"/>
      <c r="J18" s="99">
        <f t="shared" si="1"/>
        <v>3830</v>
      </c>
      <c r="K18" s="100">
        <v>3830</v>
      </c>
      <c r="L18" s="113"/>
      <c r="M18" s="113"/>
    </row>
    <row r="19" spans="1:13" s="104" customFormat="1" ht="56.25" x14ac:dyDescent="0.3">
      <c r="A19" s="68" t="str">
        <f t="shared" si="0"/>
        <v>п</v>
      </c>
      <c r="B19" s="69" t="s">
        <v>148</v>
      </c>
      <c r="C19" s="10"/>
      <c r="D19" s="118" t="s">
        <v>21</v>
      </c>
      <c r="E19" s="94" t="s">
        <v>22</v>
      </c>
      <c r="F19" s="95" t="s">
        <v>143</v>
      </c>
      <c r="G19" s="96" t="s">
        <v>144</v>
      </c>
      <c r="H19" s="97"/>
      <c r="I19" s="98"/>
      <c r="J19" s="99">
        <f t="shared" si="1"/>
        <v>5000000</v>
      </c>
      <c r="K19" s="100">
        <v>5000000</v>
      </c>
      <c r="L19" s="113"/>
      <c r="M19" s="113"/>
    </row>
    <row r="20" spans="1:13" s="104" customFormat="1" ht="56.25" x14ac:dyDescent="0.3">
      <c r="A20" s="68" t="str">
        <f t="shared" si="0"/>
        <v>п</v>
      </c>
      <c r="B20" s="69" t="s">
        <v>148</v>
      </c>
      <c r="C20" s="10"/>
      <c r="D20" s="118" t="s">
        <v>23</v>
      </c>
      <c r="E20" s="94" t="s">
        <v>24</v>
      </c>
      <c r="F20" s="95" t="s">
        <v>143</v>
      </c>
      <c r="G20" s="96" t="s">
        <v>145</v>
      </c>
      <c r="H20" s="97"/>
      <c r="I20" s="98"/>
      <c r="J20" s="99">
        <f t="shared" si="1"/>
        <v>25000</v>
      </c>
      <c r="K20" s="100">
        <v>25000</v>
      </c>
      <c r="L20" s="113"/>
      <c r="M20" s="113"/>
    </row>
    <row r="21" spans="1:13" s="104" customFormat="1" ht="111" customHeight="1" x14ac:dyDescent="0.3">
      <c r="A21" s="68" t="str">
        <f t="shared" si="0"/>
        <v>п</v>
      </c>
      <c r="B21" s="69" t="s">
        <v>148</v>
      </c>
      <c r="C21" s="10"/>
      <c r="D21" s="118" t="s">
        <v>25</v>
      </c>
      <c r="E21" s="94" t="s">
        <v>26</v>
      </c>
      <c r="F21" s="95" t="s">
        <v>139</v>
      </c>
      <c r="G21" s="96" t="s">
        <v>104</v>
      </c>
      <c r="H21" s="114"/>
      <c r="I21" s="115"/>
      <c r="J21" s="99">
        <f t="shared" si="1"/>
        <v>3132170</v>
      </c>
      <c r="K21" s="100">
        <v>3132170</v>
      </c>
      <c r="L21" s="113">
        <f>+L25</f>
        <v>0</v>
      </c>
      <c r="M21" s="113">
        <f>+M25</f>
        <v>0</v>
      </c>
    </row>
    <row r="22" spans="1:13" s="104" customFormat="1" ht="77.25" hidden="1" customHeight="1" x14ac:dyDescent="0.3">
      <c r="A22" s="68" t="str">
        <f t="shared" si="0"/>
        <v/>
      </c>
      <c r="B22" s="69" t="s">
        <v>148</v>
      </c>
      <c r="C22" s="10"/>
      <c r="D22" s="118" t="s">
        <v>267</v>
      </c>
      <c r="E22" s="94">
        <v>3230</v>
      </c>
      <c r="F22" s="95" t="s">
        <v>143</v>
      </c>
      <c r="G22" s="96" t="s">
        <v>268</v>
      </c>
      <c r="H22" s="114"/>
      <c r="I22" s="115"/>
      <c r="J22" s="99">
        <f t="shared" si="1"/>
        <v>0</v>
      </c>
      <c r="K22" s="100"/>
      <c r="L22" s="113"/>
      <c r="M22" s="113"/>
    </row>
    <row r="23" spans="1:13" s="141" customFormat="1" ht="42.75" hidden="1" customHeight="1" x14ac:dyDescent="0.3">
      <c r="A23" s="322" t="str">
        <f t="shared" si="0"/>
        <v/>
      </c>
      <c r="B23" s="323" t="s">
        <v>148</v>
      </c>
      <c r="C23" s="324"/>
      <c r="D23" s="331"/>
      <c r="E23" s="123"/>
      <c r="F23" s="124"/>
      <c r="G23" s="145" t="s">
        <v>266</v>
      </c>
      <c r="H23" s="387"/>
      <c r="I23" s="388"/>
      <c r="J23" s="99">
        <f t="shared" si="1"/>
        <v>0</v>
      </c>
      <c r="K23" s="129"/>
      <c r="L23" s="389"/>
      <c r="M23" s="389"/>
    </row>
    <row r="24" spans="1:13" s="104" customFormat="1" ht="38.25" thickBot="1" x14ac:dyDescent="0.35">
      <c r="A24" s="68" t="str">
        <f t="shared" si="0"/>
        <v>п</v>
      </c>
      <c r="B24" s="69" t="s">
        <v>148</v>
      </c>
      <c r="C24" s="10"/>
      <c r="D24" s="118" t="s">
        <v>157</v>
      </c>
      <c r="E24" s="94" t="s">
        <v>156</v>
      </c>
      <c r="F24" s="95" t="s">
        <v>129</v>
      </c>
      <c r="G24" s="96" t="s">
        <v>70</v>
      </c>
      <c r="H24" s="97"/>
      <c r="I24" s="98"/>
      <c r="J24" s="99">
        <f t="shared" si="1"/>
        <v>1197602</v>
      </c>
      <c r="K24" s="100">
        <v>1197602</v>
      </c>
      <c r="L24" s="113"/>
      <c r="M24" s="113"/>
    </row>
    <row r="25" spans="1:13" s="141" customFormat="1" ht="38.25" hidden="1" thickBot="1" x14ac:dyDescent="0.35">
      <c r="A25" s="119" t="str">
        <f t="shared" si="0"/>
        <v/>
      </c>
      <c r="B25" s="120" t="s">
        <v>148</v>
      </c>
      <c r="C25" s="120"/>
      <c r="D25" s="331"/>
      <c r="E25" s="123"/>
      <c r="F25" s="124"/>
      <c r="G25" s="145" t="s">
        <v>266</v>
      </c>
      <c r="H25" s="187"/>
      <c r="I25" s="127"/>
      <c r="J25" s="128">
        <f t="shared" si="1"/>
        <v>0</v>
      </c>
      <c r="K25" s="129"/>
      <c r="L25" s="389"/>
      <c r="M25" s="389"/>
    </row>
    <row r="26" spans="1:13" s="104" customFormat="1" ht="114" customHeight="1" x14ac:dyDescent="0.3">
      <c r="A26" s="68" t="str">
        <f t="shared" si="0"/>
        <v>п</v>
      </c>
      <c r="B26" s="69"/>
      <c r="C26" s="10"/>
      <c r="D26" s="79"/>
      <c r="E26" s="78"/>
      <c r="F26" s="79"/>
      <c r="G26" s="80"/>
      <c r="H26" s="81" t="s">
        <v>276</v>
      </c>
      <c r="I26" s="82" t="s">
        <v>308</v>
      </c>
      <c r="J26" s="83">
        <f t="shared" si="1"/>
        <v>25858170</v>
      </c>
      <c r="K26" s="84">
        <f t="shared" ref="K26:M27" si="2">+K27</f>
        <v>20819731</v>
      </c>
      <c r="L26" s="84">
        <f>+L27</f>
        <v>5038439</v>
      </c>
      <c r="M26" s="84">
        <f t="shared" si="2"/>
        <v>5038439</v>
      </c>
    </row>
    <row r="27" spans="1:13" s="105" customFormat="1" ht="27" customHeight="1" x14ac:dyDescent="0.3">
      <c r="A27" s="68" t="str">
        <f t="shared" si="0"/>
        <v>п</v>
      </c>
      <c r="B27" s="69" t="s">
        <v>147</v>
      </c>
      <c r="C27" s="33"/>
      <c r="D27" s="86" t="s">
        <v>15</v>
      </c>
      <c r="E27" s="86"/>
      <c r="F27" s="86"/>
      <c r="G27" s="88" t="s">
        <v>369</v>
      </c>
      <c r="H27" s="89"/>
      <c r="I27" s="90"/>
      <c r="J27" s="91">
        <f t="shared" si="1"/>
        <v>25858170</v>
      </c>
      <c r="K27" s="92">
        <f t="shared" si="2"/>
        <v>20819731</v>
      </c>
      <c r="L27" s="92">
        <f t="shared" si="2"/>
        <v>5038439</v>
      </c>
      <c r="M27" s="92">
        <f t="shared" si="2"/>
        <v>5038439</v>
      </c>
    </row>
    <row r="28" spans="1:13" s="105" customFormat="1" ht="27" customHeight="1" x14ac:dyDescent="0.3">
      <c r="A28" s="68" t="str">
        <f t="shared" si="0"/>
        <v>п</v>
      </c>
      <c r="B28" s="69" t="s">
        <v>147</v>
      </c>
      <c r="C28" s="33"/>
      <c r="D28" s="86" t="s">
        <v>14</v>
      </c>
      <c r="E28" s="86"/>
      <c r="F28" s="86"/>
      <c r="G28" s="88" t="s">
        <v>369</v>
      </c>
      <c r="H28" s="89"/>
      <c r="I28" s="90"/>
      <c r="J28" s="91">
        <f>+K28+L28</f>
        <v>25858170</v>
      </c>
      <c r="K28" s="92">
        <f>SUM(K29)+K32+K34</f>
        <v>20819731</v>
      </c>
      <c r="L28" s="92">
        <f>SUM(L29)+L32+L34</f>
        <v>5038439</v>
      </c>
      <c r="M28" s="92">
        <f t="shared" ref="M28" si="3">SUM(M29)+M32+M34</f>
        <v>5038439</v>
      </c>
    </row>
    <row r="29" spans="1:13" s="104" customFormat="1" ht="37.5" x14ac:dyDescent="0.3">
      <c r="A29" s="68" t="str">
        <f>IF(J29=0,"","п")</f>
        <v>п</v>
      </c>
      <c r="B29" s="69" t="s">
        <v>147</v>
      </c>
      <c r="C29" s="33"/>
      <c r="D29" s="118" t="s">
        <v>30</v>
      </c>
      <c r="E29" s="116" t="s">
        <v>142</v>
      </c>
      <c r="F29" s="117" t="s">
        <v>131</v>
      </c>
      <c r="G29" s="96" t="s">
        <v>140</v>
      </c>
      <c r="H29" s="97"/>
      <c r="I29" s="98"/>
      <c r="J29" s="99">
        <f>+K29+L29</f>
        <v>22271731</v>
      </c>
      <c r="K29" s="100">
        <v>20819731</v>
      </c>
      <c r="L29" s="113">
        <f>1452000</f>
        <v>1452000</v>
      </c>
      <c r="M29" s="113">
        <f>1452000</f>
        <v>1452000</v>
      </c>
    </row>
    <row r="30" spans="1:13" s="26" customFormat="1" ht="37.5" hidden="1" x14ac:dyDescent="0.3">
      <c r="A30" s="63" t="str">
        <f>IF(J30=0,"","п")</f>
        <v/>
      </c>
      <c r="B30" s="31" t="s">
        <v>147</v>
      </c>
      <c r="C30" s="34"/>
      <c r="D30" s="329"/>
      <c r="E30" s="261"/>
      <c r="F30" s="275"/>
      <c r="G30" s="125" t="s">
        <v>176</v>
      </c>
      <c r="H30" s="187"/>
      <c r="I30" s="50"/>
      <c r="J30" s="54">
        <f>+K30+L30</f>
        <v>0</v>
      </c>
      <c r="K30" s="13"/>
      <c r="L30" s="64"/>
      <c r="M30" s="64"/>
    </row>
    <row r="31" spans="1:13" s="26" customFormat="1" ht="37.5" hidden="1" x14ac:dyDescent="0.3">
      <c r="A31" s="68" t="str">
        <f t="shared" si="0"/>
        <v/>
      </c>
      <c r="B31" s="31" t="s">
        <v>147</v>
      </c>
      <c r="C31" s="34"/>
      <c r="D31" s="330"/>
      <c r="E31" s="261"/>
      <c r="F31" s="275"/>
      <c r="G31" s="315" t="s">
        <v>10</v>
      </c>
      <c r="H31" s="146"/>
      <c r="I31" s="147"/>
      <c r="J31" s="148">
        <f t="shared" si="1"/>
        <v>0</v>
      </c>
      <c r="K31" s="149"/>
      <c r="L31" s="386"/>
      <c r="M31" s="386"/>
    </row>
    <row r="32" spans="1:13" s="12" customFormat="1" ht="19.5" thickBot="1" x14ac:dyDescent="0.3">
      <c r="A32" s="63" t="str">
        <f>IF(J32=0,"","п")</f>
        <v>п</v>
      </c>
      <c r="B32" s="31" t="s">
        <v>147</v>
      </c>
      <c r="C32" s="33"/>
      <c r="D32" s="95" t="s">
        <v>380</v>
      </c>
      <c r="E32" s="94" t="s">
        <v>381</v>
      </c>
      <c r="F32" s="95" t="s">
        <v>195</v>
      </c>
      <c r="G32" s="96" t="s">
        <v>382</v>
      </c>
      <c r="H32" s="97"/>
      <c r="I32" s="39"/>
      <c r="J32" s="99">
        <f>+K32+L32</f>
        <v>3586439</v>
      </c>
      <c r="K32" s="100"/>
      <c r="L32" s="100">
        <v>3586439</v>
      </c>
      <c r="M32" s="100">
        <v>3586439</v>
      </c>
    </row>
    <row r="33" spans="1:13" s="26" customFormat="1" ht="38.25" hidden="1" thickBot="1" x14ac:dyDescent="0.35">
      <c r="A33" s="63" t="str">
        <f>IF(J33=0,"","п")</f>
        <v/>
      </c>
      <c r="B33" s="31" t="s">
        <v>147</v>
      </c>
      <c r="C33" s="34"/>
      <c r="D33" s="331"/>
      <c r="E33" s="123"/>
      <c r="F33" s="124"/>
      <c r="G33" s="145" t="s">
        <v>10</v>
      </c>
      <c r="H33" s="187"/>
      <c r="I33" s="50"/>
      <c r="J33" s="99">
        <f t="shared" ref="J33:J34" si="4">+K33+L33</f>
        <v>0</v>
      </c>
      <c r="K33" s="13"/>
      <c r="L33" s="64"/>
      <c r="M33" s="64"/>
    </row>
    <row r="34" spans="1:13" s="26" customFormat="1" ht="19.5" hidden="1" thickBot="1" x14ac:dyDescent="0.35">
      <c r="A34" s="63" t="str">
        <f>IF(J34=0,"","п")</f>
        <v/>
      </c>
      <c r="B34" s="31" t="s">
        <v>147</v>
      </c>
      <c r="C34" s="34"/>
      <c r="D34" s="406" t="s">
        <v>72</v>
      </c>
      <c r="E34" s="407">
        <v>7322</v>
      </c>
      <c r="F34" s="397" t="s">
        <v>124</v>
      </c>
      <c r="G34" s="280" t="s">
        <v>314</v>
      </c>
      <c r="H34" s="168"/>
      <c r="I34" s="49"/>
      <c r="J34" s="99">
        <f t="shared" si="4"/>
        <v>0</v>
      </c>
      <c r="K34" s="20"/>
      <c r="L34" s="171"/>
      <c r="M34" s="171"/>
    </row>
    <row r="35" spans="1:13" s="12" customFormat="1" ht="101.25" hidden="1" customHeight="1" x14ac:dyDescent="0.3">
      <c r="A35" s="9" t="str">
        <f t="shared" si="0"/>
        <v/>
      </c>
      <c r="B35" s="10"/>
      <c r="C35" s="10"/>
      <c r="D35" s="79"/>
      <c r="E35" s="78"/>
      <c r="F35" s="79"/>
      <c r="G35" s="80"/>
      <c r="H35" s="81"/>
      <c r="I35" s="82"/>
      <c r="J35" s="83">
        <f t="shared" si="1"/>
        <v>0</v>
      </c>
      <c r="K35" s="84">
        <f>+K36</f>
        <v>0</v>
      </c>
      <c r="L35" s="84">
        <f>+L36</f>
        <v>0</v>
      </c>
      <c r="M35" s="84">
        <f>+M36</f>
        <v>0</v>
      </c>
    </row>
    <row r="36" spans="1:13" s="19" customFormat="1" ht="24" hidden="1" customHeight="1" x14ac:dyDescent="0.3">
      <c r="A36" s="9" t="str">
        <f t="shared" si="0"/>
        <v/>
      </c>
      <c r="B36" s="10" t="s">
        <v>147</v>
      </c>
      <c r="C36" s="33"/>
      <c r="D36" s="86" t="s">
        <v>15</v>
      </c>
      <c r="E36" s="86"/>
      <c r="F36" s="86"/>
      <c r="G36" s="88" t="s">
        <v>369</v>
      </c>
      <c r="H36" s="89"/>
      <c r="I36" s="45"/>
      <c r="J36" s="91">
        <f t="shared" si="1"/>
        <v>0</v>
      </c>
      <c r="K36" s="92">
        <f t="shared" ref="K36:M37" si="5">SUM(K37)</f>
        <v>0</v>
      </c>
      <c r="L36" s="21">
        <f t="shared" si="5"/>
        <v>0</v>
      </c>
      <c r="M36" s="21">
        <f t="shared" si="5"/>
        <v>0</v>
      </c>
    </row>
    <row r="37" spans="1:13" s="19" customFormat="1" ht="24" hidden="1" customHeight="1" x14ac:dyDescent="0.3">
      <c r="A37" s="9" t="str">
        <f t="shared" si="0"/>
        <v/>
      </c>
      <c r="B37" s="10" t="s">
        <v>147</v>
      </c>
      <c r="C37" s="33"/>
      <c r="D37" s="86" t="s">
        <v>14</v>
      </c>
      <c r="E37" s="86"/>
      <c r="F37" s="86"/>
      <c r="G37" s="88" t="s">
        <v>369</v>
      </c>
      <c r="H37" s="89"/>
      <c r="I37" s="45"/>
      <c r="J37" s="91">
        <f t="shared" si="1"/>
        <v>0</v>
      </c>
      <c r="K37" s="92">
        <f t="shared" si="5"/>
        <v>0</v>
      </c>
      <c r="L37" s="21">
        <f t="shared" si="5"/>
        <v>0</v>
      </c>
      <c r="M37" s="21">
        <f t="shared" si="5"/>
        <v>0</v>
      </c>
    </row>
    <row r="38" spans="1:13" s="26" customFormat="1" ht="19.5" hidden="1" thickBot="1" x14ac:dyDescent="0.35">
      <c r="A38" s="63" t="str">
        <f t="shared" si="0"/>
        <v/>
      </c>
      <c r="B38" s="31" t="s">
        <v>147</v>
      </c>
      <c r="C38" s="34"/>
      <c r="D38" s="406"/>
      <c r="E38" s="407"/>
      <c r="F38" s="397"/>
      <c r="G38" s="280"/>
      <c r="H38" s="168"/>
      <c r="I38" s="49"/>
      <c r="J38" s="171"/>
      <c r="K38" s="171"/>
      <c r="L38" s="171"/>
      <c r="M38" s="171"/>
    </row>
    <row r="39" spans="1:13" s="104" customFormat="1" ht="138" customHeight="1" x14ac:dyDescent="0.3">
      <c r="A39" s="68" t="str">
        <f>IF(J39=0,"","п")</f>
        <v>п</v>
      </c>
      <c r="B39" s="69"/>
      <c r="C39" s="10"/>
      <c r="D39" s="79"/>
      <c r="E39" s="78"/>
      <c r="F39" s="79"/>
      <c r="G39" s="80"/>
      <c r="H39" s="81" t="s">
        <v>312</v>
      </c>
      <c r="I39" s="82" t="s">
        <v>349</v>
      </c>
      <c r="J39" s="83">
        <f>+K39+L39</f>
        <v>3452360</v>
      </c>
      <c r="K39" s="84">
        <f>+K40</f>
        <v>3452360</v>
      </c>
      <c r="L39" s="84">
        <f>+L40</f>
        <v>0</v>
      </c>
      <c r="M39" s="84">
        <f>+M40</f>
        <v>0</v>
      </c>
    </row>
    <row r="40" spans="1:13" s="105" customFormat="1" ht="24.75" customHeight="1" x14ac:dyDescent="0.3">
      <c r="A40" s="68" t="str">
        <f t="shared" ref="A40:A42" si="6">IF(J40=0,"","п")</f>
        <v>п</v>
      </c>
      <c r="B40" s="69" t="s">
        <v>147</v>
      </c>
      <c r="C40" s="33"/>
      <c r="D40" s="86" t="s">
        <v>15</v>
      </c>
      <c r="E40" s="86"/>
      <c r="F40" s="86"/>
      <c r="G40" s="88" t="s">
        <v>369</v>
      </c>
      <c r="H40" s="89"/>
      <c r="I40" s="90"/>
      <c r="J40" s="91">
        <f>+K40+L40</f>
        <v>3452360</v>
      </c>
      <c r="K40" s="92">
        <f t="shared" ref="K40:M41" si="7">SUM(K41)</f>
        <v>3452360</v>
      </c>
      <c r="L40" s="92">
        <f t="shared" si="7"/>
        <v>0</v>
      </c>
      <c r="M40" s="92">
        <f t="shared" si="7"/>
        <v>0</v>
      </c>
    </row>
    <row r="41" spans="1:13" s="105" customFormat="1" ht="24.75" customHeight="1" x14ac:dyDescent="0.3">
      <c r="A41" s="68" t="str">
        <f t="shared" si="6"/>
        <v>п</v>
      </c>
      <c r="B41" s="69" t="s">
        <v>147</v>
      </c>
      <c r="C41" s="33"/>
      <c r="D41" s="86" t="s">
        <v>14</v>
      </c>
      <c r="E41" s="86"/>
      <c r="F41" s="86"/>
      <c r="G41" s="88" t="s">
        <v>369</v>
      </c>
      <c r="H41" s="89"/>
      <c r="I41" s="90"/>
      <c r="J41" s="91">
        <f>+K41+L41</f>
        <v>3452360</v>
      </c>
      <c r="K41" s="92">
        <f>SUM(K42)</f>
        <v>3452360</v>
      </c>
      <c r="L41" s="92">
        <f t="shared" si="7"/>
        <v>0</v>
      </c>
      <c r="M41" s="92">
        <f t="shared" si="7"/>
        <v>0</v>
      </c>
    </row>
    <row r="42" spans="1:13" s="104" customFormat="1" ht="26.25" customHeight="1" thickBot="1" x14ac:dyDescent="0.35">
      <c r="A42" s="68" t="str">
        <f t="shared" si="6"/>
        <v>п</v>
      </c>
      <c r="B42" s="69" t="s">
        <v>147</v>
      </c>
      <c r="C42" s="33"/>
      <c r="D42" s="118" t="s">
        <v>90</v>
      </c>
      <c r="E42" s="95" t="s">
        <v>91</v>
      </c>
      <c r="F42" s="95" t="s">
        <v>92</v>
      </c>
      <c r="G42" s="96" t="s">
        <v>93</v>
      </c>
      <c r="H42" s="97"/>
      <c r="I42" s="98"/>
      <c r="J42" s="99">
        <f>+K42+L42</f>
        <v>3452360</v>
      </c>
      <c r="K42" s="100">
        <v>3452360</v>
      </c>
      <c r="L42" s="100"/>
      <c r="M42" s="100"/>
    </row>
    <row r="43" spans="1:13" s="12" customFormat="1" ht="75.75" hidden="1" thickBot="1" x14ac:dyDescent="0.3">
      <c r="A43" s="9" t="str">
        <f t="shared" si="0"/>
        <v/>
      </c>
      <c r="B43" s="10"/>
      <c r="C43" s="10"/>
      <c r="D43" s="79"/>
      <c r="E43" s="78"/>
      <c r="F43" s="79"/>
      <c r="G43" s="80"/>
      <c r="H43" s="81" t="s">
        <v>184</v>
      </c>
      <c r="I43" s="82" t="s">
        <v>185</v>
      </c>
      <c r="J43" s="51">
        <f t="shared" si="1"/>
        <v>0</v>
      </c>
      <c r="K43" s="11">
        <f>+K44</f>
        <v>0</v>
      </c>
      <c r="L43" s="11">
        <f>+L44</f>
        <v>0</v>
      </c>
      <c r="M43" s="11">
        <f>+M44</f>
        <v>0</v>
      </c>
    </row>
    <row r="44" spans="1:13" s="19" customFormat="1" ht="19.5" hidden="1" customHeight="1" x14ac:dyDescent="0.3">
      <c r="A44" s="9" t="str">
        <f t="shared" si="0"/>
        <v/>
      </c>
      <c r="B44" s="10" t="s">
        <v>147</v>
      </c>
      <c r="C44" s="33"/>
      <c r="D44" s="86" t="s">
        <v>15</v>
      </c>
      <c r="E44" s="86"/>
      <c r="F44" s="86"/>
      <c r="G44" s="88" t="s">
        <v>369</v>
      </c>
      <c r="H44" s="89"/>
      <c r="I44" s="45"/>
      <c r="J44" s="52">
        <f t="shared" si="1"/>
        <v>0</v>
      </c>
      <c r="K44" s="21">
        <f t="shared" ref="K44:M45" si="8">SUM(K45)</f>
        <v>0</v>
      </c>
      <c r="L44" s="21">
        <f t="shared" si="8"/>
        <v>0</v>
      </c>
      <c r="M44" s="21">
        <f t="shared" si="8"/>
        <v>0</v>
      </c>
    </row>
    <row r="45" spans="1:13" s="19" customFormat="1" ht="19.5" hidden="1" customHeight="1" x14ac:dyDescent="0.3">
      <c r="A45" s="9" t="str">
        <f t="shared" si="0"/>
        <v/>
      </c>
      <c r="B45" s="10" t="s">
        <v>147</v>
      </c>
      <c r="C45" s="33"/>
      <c r="D45" s="86" t="s">
        <v>14</v>
      </c>
      <c r="E45" s="86"/>
      <c r="F45" s="86"/>
      <c r="G45" s="88" t="s">
        <v>369</v>
      </c>
      <c r="H45" s="89"/>
      <c r="I45" s="45"/>
      <c r="J45" s="52">
        <f t="shared" si="1"/>
        <v>0</v>
      </c>
      <c r="K45" s="21">
        <f>SUM(K46)</f>
        <v>0</v>
      </c>
      <c r="L45" s="21">
        <f t="shared" si="8"/>
        <v>0</v>
      </c>
      <c r="M45" s="21">
        <f t="shared" si="8"/>
        <v>0</v>
      </c>
    </row>
    <row r="46" spans="1:13" s="12" customFormat="1" ht="57" hidden="1" thickBot="1" x14ac:dyDescent="0.3">
      <c r="A46" s="9" t="str">
        <f t="shared" si="0"/>
        <v/>
      </c>
      <c r="B46" s="10" t="s">
        <v>147</v>
      </c>
      <c r="C46" s="33"/>
      <c r="D46" s="118" t="s">
        <v>27</v>
      </c>
      <c r="E46" s="95" t="s">
        <v>28</v>
      </c>
      <c r="F46" s="95" t="s">
        <v>71</v>
      </c>
      <c r="G46" s="96" t="s">
        <v>29</v>
      </c>
      <c r="H46" s="97"/>
      <c r="I46" s="39"/>
      <c r="J46" s="53">
        <f t="shared" si="1"/>
        <v>0</v>
      </c>
      <c r="K46" s="16"/>
      <c r="L46" s="15"/>
      <c r="M46" s="15"/>
    </row>
    <row r="47" spans="1:13" s="104" customFormat="1" ht="79.5" customHeight="1" x14ac:dyDescent="0.3">
      <c r="A47" s="68" t="str">
        <f t="shared" si="0"/>
        <v>п</v>
      </c>
      <c r="B47" s="69"/>
      <c r="C47" s="10"/>
      <c r="D47" s="79"/>
      <c r="E47" s="78"/>
      <c r="F47" s="79"/>
      <c r="G47" s="80"/>
      <c r="H47" s="81" t="s">
        <v>343</v>
      </c>
      <c r="I47" s="82" t="s">
        <v>344</v>
      </c>
      <c r="J47" s="83">
        <f t="shared" si="1"/>
        <v>12919517</v>
      </c>
      <c r="K47" s="84">
        <f>+K48</f>
        <v>12919517</v>
      </c>
      <c r="L47" s="84">
        <f t="shared" ref="L47:M47" si="9">+L48</f>
        <v>0</v>
      </c>
      <c r="M47" s="84">
        <f t="shared" si="9"/>
        <v>0</v>
      </c>
    </row>
    <row r="48" spans="1:13" s="105" customFormat="1" ht="21" customHeight="1" x14ac:dyDescent="0.3">
      <c r="A48" s="68" t="str">
        <f t="shared" si="0"/>
        <v>п</v>
      </c>
      <c r="B48" s="69" t="s">
        <v>147</v>
      </c>
      <c r="C48" s="33"/>
      <c r="D48" s="86" t="s">
        <v>15</v>
      </c>
      <c r="E48" s="86"/>
      <c r="F48" s="86"/>
      <c r="G48" s="88" t="s">
        <v>369</v>
      </c>
      <c r="H48" s="89"/>
      <c r="I48" s="90"/>
      <c r="J48" s="91">
        <f t="shared" si="1"/>
        <v>12919517</v>
      </c>
      <c r="K48" s="92">
        <f>SUM(K49)</f>
        <v>12919517</v>
      </c>
      <c r="L48" s="92">
        <f>SUM(L49)</f>
        <v>0</v>
      </c>
      <c r="M48" s="92">
        <f>SUM(M49)</f>
        <v>0</v>
      </c>
    </row>
    <row r="49" spans="1:13" s="105" customFormat="1" ht="21" customHeight="1" x14ac:dyDescent="0.3">
      <c r="A49" s="68" t="str">
        <f t="shared" si="0"/>
        <v>п</v>
      </c>
      <c r="B49" s="69" t="s">
        <v>147</v>
      </c>
      <c r="C49" s="33"/>
      <c r="D49" s="86" t="s">
        <v>14</v>
      </c>
      <c r="E49" s="86"/>
      <c r="F49" s="86"/>
      <c r="G49" s="88" t="s">
        <v>369</v>
      </c>
      <c r="H49" s="89"/>
      <c r="I49" s="90"/>
      <c r="J49" s="91">
        <f>+K49+L49</f>
        <v>12919517</v>
      </c>
      <c r="K49" s="92">
        <f>SUM(K50:K55)-K55-K52-K53</f>
        <v>12919517</v>
      </c>
      <c r="L49" s="92">
        <f t="shared" ref="L49:M49" si="10">SUM(L50:L55)-L55-L52-L53</f>
        <v>0</v>
      </c>
      <c r="M49" s="92">
        <f t="shared" si="10"/>
        <v>0</v>
      </c>
    </row>
    <row r="50" spans="1:13" s="12" customFormat="1" ht="42" hidden="1" customHeight="1" x14ac:dyDescent="0.25">
      <c r="A50" s="9" t="str">
        <f t="shared" si="0"/>
        <v/>
      </c>
      <c r="B50" s="10" t="s">
        <v>147</v>
      </c>
      <c r="C50" s="35"/>
      <c r="D50" s="118"/>
      <c r="E50" s="95"/>
      <c r="F50" s="95"/>
      <c r="G50" s="280"/>
      <c r="H50" s="97"/>
      <c r="I50" s="39"/>
      <c r="J50" s="53">
        <f t="shared" si="1"/>
        <v>0</v>
      </c>
      <c r="K50" s="16"/>
      <c r="L50" s="16"/>
      <c r="M50" s="16"/>
    </row>
    <row r="51" spans="1:13" s="104" customFormat="1" ht="57" thickBot="1" x14ac:dyDescent="0.35">
      <c r="A51" s="68" t="str">
        <f t="shared" si="0"/>
        <v>п</v>
      </c>
      <c r="B51" s="69" t="s">
        <v>147</v>
      </c>
      <c r="C51" s="33"/>
      <c r="D51" s="118" t="s">
        <v>27</v>
      </c>
      <c r="E51" s="95" t="s">
        <v>28</v>
      </c>
      <c r="F51" s="95" t="s">
        <v>71</v>
      </c>
      <c r="G51" s="96" t="s">
        <v>29</v>
      </c>
      <c r="H51" s="97"/>
      <c r="I51" s="98"/>
      <c r="J51" s="99">
        <f>+K51+L51</f>
        <v>12919517</v>
      </c>
      <c r="K51" s="99">
        <v>12919517</v>
      </c>
      <c r="L51" s="100"/>
      <c r="M51" s="100"/>
    </row>
    <row r="52" spans="1:13" s="104" customFormat="1" ht="41.25" hidden="1" customHeight="1" x14ac:dyDescent="0.35">
      <c r="A52" s="119" t="str">
        <f t="shared" si="0"/>
        <v/>
      </c>
      <c r="B52" s="120" t="s">
        <v>147</v>
      </c>
      <c r="C52" s="33"/>
      <c r="D52" s="118"/>
      <c r="E52" s="95"/>
      <c r="F52" s="95"/>
      <c r="G52" s="125" t="s">
        <v>280</v>
      </c>
      <c r="H52" s="266"/>
      <c r="I52" s="48"/>
      <c r="J52" s="128">
        <f t="shared" si="1"/>
        <v>0</v>
      </c>
      <c r="K52" s="128"/>
      <c r="L52" s="129"/>
      <c r="M52" s="129"/>
    </row>
    <row r="53" spans="1:13" s="104" customFormat="1" ht="41.25" hidden="1" customHeight="1" x14ac:dyDescent="0.35">
      <c r="A53" s="119" t="str">
        <f t="shared" si="0"/>
        <v/>
      </c>
      <c r="B53" s="120" t="s">
        <v>147</v>
      </c>
      <c r="C53" s="33"/>
      <c r="D53" s="118"/>
      <c r="E53" s="95"/>
      <c r="F53" s="95"/>
      <c r="G53" s="125" t="s">
        <v>10</v>
      </c>
      <c r="H53" s="266"/>
      <c r="I53" s="48"/>
      <c r="J53" s="128">
        <f t="shared" si="1"/>
        <v>0</v>
      </c>
      <c r="K53" s="128"/>
      <c r="L53" s="129"/>
      <c r="M53" s="129"/>
    </row>
    <row r="54" spans="1:13" s="104" customFormat="1" ht="42" hidden="1" customHeight="1" x14ac:dyDescent="0.35">
      <c r="A54" s="68" t="str">
        <f>IF(J54=0,"","п")</f>
        <v/>
      </c>
      <c r="B54" s="69"/>
      <c r="C54" s="33"/>
      <c r="D54" s="118" t="s">
        <v>193</v>
      </c>
      <c r="E54" s="95" t="s">
        <v>194</v>
      </c>
      <c r="F54" s="95" t="s">
        <v>195</v>
      </c>
      <c r="G54" s="121" t="s">
        <v>196</v>
      </c>
      <c r="H54" s="122"/>
      <c r="I54" s="98"/>
      <c r="J54" s="99">
        <f>+K54+L54</f>
        <v>0</v>
      </c>
      <c r="K54" s="100"/>
      <c r="L54" s="101"/>
      <c r="M54" s="101"/>
    </row>
    <row r="55" spans="1:13" s="141" customFormat="1" ht="49.5" hidden="1" customHeight="1" thickBot="1" x14ac:dyDescent="0.35">
      <c r="A55" s="119" t="str">
        <f t="shared" si="0"/>
        <v/>
      </c>
      <c r="B55" s="120" t="s">
        <v>147</v>
      </c>
      <c r="C55" s="34"/>
      <c r="D55" s="331"/>
      <c r="E55" s="123"/>
      <c r="F55" s="124"/>
      <c r="G55" s="125" t="s">
        <v>10</v>
      </c>
      <c r="H55" s="126"/>
      <c r="I55" s="127"/>
      <c r="J55" s="128">
        <f t="shared" si="1"/>
        <v>0</v>
      </c>
      <c r="K55" s="129"/>
      <c r="L55" s="130"/>
      <c r="M55" s="130"/>
    </row>
    <row r="56" spans="1:13" s="104" customFormat="1" ht="119.25" customHeight="1" x14ac:dyDescent="0.3">
      <c r="A56" s="68" t="str">
        <f t="shared" si="0"/>
        <v>п</v>
      </c>
      <c r="B56" s="69"/>
      <c r="C56" s="10"/>
      <c r="D56" s="79"/>
      <c r="E56" s="78"/>
      <c r="F56" s="79"/>
      <c r="G56" s="80"/>
      <c r="H56" s="81" t="s">
        <v>272</v>
      </c>
      <c r="I56" s="82" t="s">
        <v>271</v>
      </c>
      <c r="J56" s="83">
        <f t="shared" ref="J56:J61" si="11">+K56+L56</f>
        <v>18598942</v>
      </c>
      <c r="K56" s="84">
        <f>+K64+K57+K60</f>
        <v>0</v>
      </c>
      <c r="L56" s="84">
        <f>+L64+L57+L60</f>
        <v>18598942</v>
      </c>
      <c r="M56" s="84">
        <f t="shared" ref="M56" si="12">+M64+M57+M60</f>
        <v>18598942</v>
      </c>
    </row>
    <row r="57" spans="1:13" s="104" customFormat="1" ht="17.25" hidden="1" customHeight="1" x14ac:dyDescent="0.3">
      <c r="A57" s="68" t="str">
        <f t="shared" si="0"/>
        <v/>
      </c>
      <c r="B57" s="69" t="s">
        <v>147</v>
      </c>
      <c r="C57" s="10"/>
      <c r="D57" s="86" t="s">
        <v>15</v>
      </c>
      <c r="E57" s="86"/>
      <c r="F57" s="86"/>
      <c r="G57" s="88" t="s">
        <v>369</v>
      </c>
      <c r="H57" s="382"/>
      <c r="I57" s="183"/>
      <c r="J57" s="110">
        <f t="shared" si="11"/>
        <v>0</v>
      </c>
      <c r="K57" s="111">
        <f t="shared" ref="K57:M58" si="13">SUM(K58)</f>
        <v>0</v>
      </c>
      <c r="L57" s="111">
        <f t="shared" si="13"/>
        <v>0</v>
      </c>
      <c r="M57" s="111">
        <f t="shared" si="13"/>
        <v>0</v>
      </c>
    </row>
    <row r="58" spans="1:13" s="104" customFormat="1" ht="17.25" hidden="1" customHeight="1" x14ac:dyDescent="0.3">
      <c r="A58" s="68" t="str">
        <f t="shared" si="0"/>
        <v/>
      </c>
      <c r="B58" s="69" t="s">
        <v>147</v>
      </c>
      <c r="C58" s="10"/>
      <c r="D58" s="86" t="s">
        <v>14</v>
      </c>
      <c r="E58" s="86"/>
      <c r="F58" s="86"/>
      <c r="G58" s="88" t="s">
        <v>369</v>
      </c>
      <c r="H58" s="382"/>
      <c r="I58" s="183"/>
      <c r="J58" s="110">
        <f t="shared" si="11"/>
        <v>0</v>
      </c>
      <c r="K58" s="111">
        <f>SUM(K59)</f>
        <v>0</v>
      </c>
      <c r="L58" s="111">
        <f t="shared" si="13"/>
        <v>0</v>
      </c>
      <c r="M58" s="111">
        <f t="shared" si="13"/>
        <v>0</v>
      </c>
    </row>
    <row r="59" spans="1:13" s="104" customFormat="1" ht="31.5" hidden="1" customHeight="1" x14ac:dyDescent="0.3">
      <c r="A59" s="68" t="str">
        <f t="shared" si="0"/>
        <v/>
      </c>
      <c r="B59" s="69" t="s">
        <v>147</v>
      </c>
      <c r="C59" s="10"/>
      <c r="D59" s="181" t="s">
        <v>273</v>
      </c>
      <c r="E59" s="177">
        <v>7330</v>
      </c>
      <c r="F59" s="181" t="s">
        <v>124</v>
      </c>
      <c r="G59" s="391" t="s">
        <v>274</v>
      </c>
      <c r="H59" s="108"/>
      <c r="I59" s="109"/>
      <c r="J59" s="170">
        <f t="shared" si="11"/>
        <v>0</v>
      </c>
      <c r="K59" s="171"/>
      <c r="L59" s="171"/>
      <c r="M59" s="171"/>
    </row>
    <row r="60" spans="1:13" s="105" customFormat="1" ht="19.5" x14ac:dyDescent="0.3">
      <c r="A60" s="68" t="str">
        <f t="shared" ref="A60:A63" si="14">IF(J60=0,"","п")</f>
        <v>п</v>
      </c>
      <c r="B60" s="69" t="s">
        <v>149</v>
      </c>
      <c r="C60" s="10"/>
      <c r="D60" s="86" t="s">
        <v>41</v>
      </c>
      <c r="E60" s="87"/>
      <c r="F60" s="87"/>
      <c r="G60" s="88" t="s">
        <v>372</v>
      </c>
      <c r="H60" s="89"/>
      <c r="I60" s="90"/>
      <c r="J60" s="91">
        <f t="shared" si="11"/>
        <v>18598942</v>
      </c>
      <c r="K60" s="92">
        <f t="shared" ref="K60:M60" si="15">K61</f>
        <v>0</v>
      </c>
      <c r="L60" s="92">
        <f t="shared" si="15"/>
        <v>18598942</v>
      </c>
      <c r="M60" s="92">
        <f t="shared" si="15"/>
        <v>18598942</v>
      </c>
    </row>
    <row r="61" spans="1:13" s="105" customFormat="1" ht="19.5" x14ac:dyDescent="0.3">
      <c r="A61" s="68" t="str">
        <f t="shared" si="14"/>
        <v>п</v>
      </c>
      <c r="B61" s="69" t="s">
        <v>149</v>
      </c>
      <c r="C61" s="10"/>
      <c r="D61" s="86" t="s">
        <v>42</v>
      </c>
      <c r="E61" s="87"/>
      <c r="F61" s="87"/>
      <c r="G61" s="88" t="s">
        <v>372</v>
      </c>
      <c r="H61" s="89"/>
      <c r="I61" s="90"/>
      <c r="J61" s="91">
        <f t="shared" si="11"/>
        <v>18598942</v>
      </c>
      <c r="K61" s="92">
        <f>K63</f>
        <v>0</v>
      </c>
      <c r="L61" s="92">
        <f>L63+L62</f>
        <v>18598942</v>
      </c>
      <c r="M61" s="92">
        <f>M63+M62</f>
        <v>18598942</v>
      </c>
    </row>
    <row r="62" spans="1:13" s="105" customFormat="1" ht="56.25" x14ac:dyDescent="0.3">
      <c r="A62" s="68" t="str">
        <f t="shared" ref="A62" si="16">IF(J62=0,"","п")</f>
        <v>п</v>
      </c>
      <c r="B62" s="69" t="s">
        <v>149</v>
      </c>
      <c r="C62" s="10"/>
      <c r="D62" s="118" t="s">
        <v>209</v>
      </c>
      <c r="E62" s="181" t="s">
        <v>210</v>
      </c>
      <c r="F62" s="181" t="s">
        <v>128</v>
      </c>
      <c r="G62" s="280" t="s">
        <v>277</v>
      </c>
      <c r="H62" s="135"/>
      <c r="I62" s="136"/>
      <c r="J62" s="137">
        <f t="shared" ref="J62:J63" si="17">+K62+L62</f>
        <v>1380358</v>
      </c>
      <c r="K62" s="138"/>
      <c r="L62" s="138">
        <v>1380358</v>
      </c>
      <c r="M62" s="138">
        <v>1380358</v>
      </c>
    </row>
    <row r="63" spans="1:13" s="104" customFormat="1" ht="32.25" customHeight="1" thickBot="1" x14ac:dyDescent="0.35">
      <c r="A63" s="68" t="str">
        <f t="shared" si="14"/>
        <v>п</v>
      </c>
      <c r="B63" s="69" t="s">
        <v>149</v>
      </c>
      <c r="C63" s="10"/>
      <c r="D63" s="118" t="s">
        <v>378</v>
      </c>
      <c r="E63" s="177">
        <v>1300</v>
      </c>
      <c r="F63" s="181" t="s">
        <v>161</v>
      </c>
      <c r="G63" s="391" t="s">
        <v>154</v>
      </c>
      <c r="H63" s="135"/>
      <c r="I63" s="136"/>
      <c r="J63" s="137">
        <f t="shared" si="17"/>
        <v>17218584</v>
      </c>
      <c r="K63" s="138"/>
      <c r="L63" s="138">
        <f>5447368+11454160+317056</f>
        <v>17218584</v>
      </c>
      <c r="M63" s="138">
        <f>5447368+11454160+317056</f>
        <v>17218584</v>
      </c>
    </row>
    <row r="64" spans="1:13" s="105" customFormat="1" ht="59.25" hidden="1" thickBot="1" x14ac:dyDescent="0.35">
      <c r="A64" s="9" t="str">
        <f t="shared" si="0"/>
        <v/>
      </c>
      <c r="B64" s="1" t="s">
        <v>150</v>
      </c>
      <c r="C64" s="10"/>
      <c r="D64" s="131" t="s">
        <v>48</v>
      </c>
      <c r="E64" s="106"/>
      <c r="F64" s="106"/>
      <c r="G64" s="107" t="s">
        <v>373</v>
      </c>
      <c r="H64" s="89"/>
      <c r="I64" s="90"/>
      <c r="J64" s="91">
        <f t="shared" si="1"/>
        <v>0</v>
      </c>
      <c r="K64" s="92">
        <f t="shared" ref="K64:M64" si="18">+K65</f>
        <v>0</v>
      </c>
      <c r="L64" s="92">
        <f t="shared" si="18"/>
        <v>0</v>
      </c>
      <c r="M64" s="92">
        <f t="shared" si="18"/>
        <v>0</v>
      </c>
    </row>
    <row r="65" spans="1:13" s="105" customFormat="1" ht="59.25" hidden="1" thickBot="1" x14ac:dyDescent="0.35">
      <c r="A65" s="9" t="str">
        <f t="shared" si="0"/>
        <v/>
      </c>
      <c r="B65" s="1" t="s">
        <v>150</v>
      </c>
      <c r="C65" s="10"/>
      <c r="D65" s="131" t="s">
        <v>49</v>
      </c>
      <c r="E65" s="106"/>
      <c r="F65" s="106"/>
      <c r="G65" s="107" t="s">
        <v>373</v>
      </c>
      <c r="H65" s="132"/>
      <c r="I65" s="133"/>
      <c r="J65" s="134">
        <f>+K65+L65</f>
        <v>0</v>
      </c>
      <c r="K65" s="92">
        <f>SUM(K66:K69)-K67</f>
        <v>0</v>
      </c>
      <c r="L65" s="92">
        <f>SUM(L66:L69)-L67</f>
        <v>0</v>
      </c>
      <c r="M65" s="92">
        <f>SUM(M66:M69)-M67</f>
        <v>0</v>
      </c>
    </row>
    <row r="66" spans="1:13" s="104" customFormat="1" ht="38.25" hidden="1" thickBot="1" x14ac:dyDescent="0.35">
      <c r="A66" s="68" t="str">
        <f t="shared" si="0"/>
        <v/>
      </c>
      <c r="B66" s="69" t="s">
        <v>150</v>
      </c>
      <c r="C66" s="33"/>
      <c r="D66" s="118" t="s">
        <v>290</v>
      </c>
      <c r="E66" s="94">
        <v>8110</v>
      </c>
      <c r="F66" s="95" t="s">
        <v>175</v>
      </c>
      <c r="G66" s="96" t="s">
        <v>265</v>
      </c>
      <c r="H66" s="135"/>
      <c r="I66" s="136"/>
      <c r="J66" s="137">
        <f t="shared" si="1"/>
        <v>0</v>
      </c>
      <c r="K66" s="138"/>
      <c r="L66" s="138"/>
      <c r="M66" s="138"/>
    </row>
    <row r="67" spans="1:13" s="141" customFormat="1" ht="20.25" hidden="1" thickBot="1" x14ac:dyDescent="0.35">
      <c r="A67" s="119" t="str">
        <f t="shared" si="0"/>
        <v/>
      </c>
      <c r="B67" s="120" t="s">
        <v>150</v>
      </c>
      <c r="C67" s="120"/>
      <c r="D67" s="190"/>
      <c r="E67" s="189"/>
      <c r="F67" s="190"/>
      <c r="G67" s="348" t="s">
        <v>244</v>
      </c>
      <c r="H67" s="146"/>
      <c r="I67" s="147"/>
      <c r="J67" s="148">
        <f t="shared" si="1"/>
        <v>0</v>
      </c>
      <c r="K67" s="149"/>
      <c r="L67" s="149"/>
      <c r="M67" s="149"/>
    </row>
    <row r="68" spans="1:13" s="104" customFormat="1" ht="57" hidden="1" thickBot="1" x14ac:dyDescent="0.35">
      <c r="A68" s="68" t="str">
        <f t="shared" ref="A68" si="19">IF(J68=0,"","п")</f>
        <v/>
      </c>
      <c r="B68" s="69" t="s">
        <v>150</v>
      </c>
      <c r="C68" s="33"/>
      <c r="D68" s="118" t="s">
        <v>218</v>
      </c>
      <c r="E68" s="94">
        <v>1021</v>
      </c>
      <c r="F68" s="95" t="s">
        <v>128</v>
      </c>
      <c r="G68" s="96" t="s">
        <v>277</v>
      </c>
      <c r="H68" s="135"/>
      <c r="I68" s="136"/>
      <c r="J68" s="137">
        <f t="shared" si="1"/>
        <v>0</v>
      </c>
      <c r="K68" s="138"/>
      <c r="L68" s="138"/>
      <c r="M68" s="138"/>
    </row>
    <row r="69" spans="1:13" s="104" customFormat="1" ht="38.25" hidden="1" customHeight="1" thickBot="1" x14ac:dyDescent="0.35">
      <c r="A69" s="68" t="str">
        <f t="shared" si="0"/>
        <v/>
      </c>
      <c r="B69" s="69" t="s">
        <v>150</v>
      </c>
      <c r="C69" s="33"/>
      <c r="D69" s="181" t="s">
        <v>313</v>
      </c>
      <c r="E69" s="177">
        <v>7330</v>
      </c>
      <c r="F69" s="181" t="s">
        <v>124</v>
      </c>
      <c r="G69" s="391" t="s">
        <v>274</v>
      </c>
      <c r="H69" s="135"/>
      <c r="I69" s="136"/>
      <c r="J69" s="137">
        <f t="shared" si="1"/>
        <v>0</v>
      </c>
      <c r="K69" s="138"/>
      <c r="L69" s="138">
        <f>3197885-3197885</f>
        <v>0</v>
      </c>
      <c r="M69" s="138">
        <f>3197885-3197885</f>
        <v>0</v>
      </c>
    </row>
    <row r="70" spans="1:13" s="104" customFormat="1" ht="102.75" customHeight="1" x14ac:dyDescent="0.3">
      <c r="A70" s="68" t="str">
        <f t="shared" si="0"/>
        <v>п</v>
      </c>
      <c r="B70" s="69"/>
      <c r="C70" s="10"/>
      <c r="D70" s="79"/>
      <c r="E70" s="78"/>
      <c r="F70" s="79"/>
      <c r="G70" s="80"/>
      <c r="H70" s="81" t="s">
        <v>287</v>
      </c>
      <c r="I70" s="82" t="s">
        <v>350</v>
      </c>
      <c r="J70" s="83">
        <f t="shared" si="1"/>
        <v>680347</v>
      </c>
      <c r="K70" s="84">
        <f>+K71+K79</f>
        <v>680347</v>
      </c>
      <c r="L70" s="84">
        <f>+L71</f>
        <v>0</v>
      </c>
      <c r="M70" s="84">
        <f>+M71</f>
        <v>0</v>
      </c>
    </row>
    <row r="71" spans="1:13" s="105" customFormat="1" ht="39" x14ac:dyDescent="0.3">
      <c r="A71" s="68" t="str">
        <f t="shared" si="0"/>
        <v>п</v>
      </c>
      <c r="B71" s="69" t="s">
        <v>6</v>
      </c>
      <c r="C71" s="33"/>
      <c r="D71" s="131" t="s">
        <v>135</v>
      </c>
      <c r="E71" s="106"/>
      <c r="F71" s="106"/>
      <c r="G71" s="107" t="s">
        <v>371</v>
      </c>
      <c r="H71" s="89"/>
      <c r="I71" s="90"/>
      <c r="J71" s="91">
        <f t="shared" si="1"/>
        <v>680347</v>
      </c>
      <c r="K71" s="92">
        <f>K72</f>
        <v>680347</v>
      </c>
      <c r="L71" s="92">
        <f>L72</f>
        <v>0</v>
      </c>
      <c r="M71" s="92">
        <f>M72</f>
        <v>0</v>
      </c>
    </row>
    <row r="72" spans="1:13" s="105" customFormat="1" ht="39" x14ac:dyDescent="0.3">
      <c r="A72" s="68" t="str">
        <f t="shared" si="0"/>
        <v>п</v>
      </c>
      <c r="B72" s="69" t="s">
        <v>6</v>
      </c>
      <c r="C72" s="33"/>
      <c r="D72" s="131" t="s">
        <v>136</v>
      </c>
      <c r="E72" s="106"/>
      <c r="F72" s="106"/>
      <c r="G72" s="107" t="s">
        <v>371</v>
      </c>
      <c r="H72" s="132"/>
      <c r="I72" s="133"/>
      <c r="J72" s="134">
        <f t="shared" si="1"/>
        <v>680347</v>
      </c>
      <c r="K72" s="92">
        <f>SUM(K73:K78)-K77</f>
        <v>680347</v>
      </c>
      <c r="L72" s="92">
        <f t="shared" ref="L72:M72" si="20">SUM(L73:L78)-L77</f>
        <v>0</v>
      </c>
      <c r="M72" s="92">
        <f t="shared" si="20"/>
        <v>0</v>
      </c>
    </row>
    <row r="73" spans="1:13" s="104" customFormat="1" ht="37.5" x14ac:dyDescent="0.3">
      <c r="A73" s="68" t="str">
        <f t="shared" si="0"/>
        <v>п</v>
      </c>
      <c r="B73" s="69" t="s">
        <v>6</v>
      </c>
      <c r="C73" s="33" t="s">
        <v>7</v>
      </c>
      <c r="D73" s="118" t="s">
        <v>221</v>
      </c>
      <c r="E73" s="94" t="s">
        <v>31</v>
      </c>
      <c r="F73" s="95" t="s">
        <v>122</v>
      </c>
      <c r="G73" s="96" t="s">
        <v>133</v>
      </c>
      <c r="H73" s="135"/>
      <c r="I73" s="136"/>
      <c r="J73" s="137">
        <f t="shared" si="1"/>
        <v>193411</v>
      </c>
      <c r="K73" s="138">
        <v>193411</v>
      </c>
      <c r="L73" s="138"/>
      <c r="M73" s="138"/>
    </row>
    <row r="74" spans="1:13" s="104" customFormat="1" ht="37.5" x14ac:dyDescent="0.3">
      <c r="A74" s="68" t="str">
        <f>IF(J74=0,"","п")</f>
        <v>п</v>
      </c>
      <c r="B74" s="69" t="s">
        <v>6</v>
      </c>
      <c r="C74" s="33"/>
      <c r="D74" s="95" t="s">
        <v>222</v>
      </c>
      <c r="E74" s="94">
        <v>5012</v>
      </c>
      <c r="F74" s="95" t="s">
        <v>122</v>
      </c>
      <c r="G74" s="96" t="s">
        <v>99</v>
      </c>
      <c r="H74" s="140"/>
      <c r="I74" s="136"/>
      <c r="J74" s="138">
        <f>+K74+L74</f>
        <v>19765</v>
      </c>
      <c r="K74" s="138">
        <v>19765</v>
      </c>
      <c r="L74" s="139"/>
      <c r="M74" s="139"/>
    </row>
    <row r="75" spans="1:13" s="104" customFormat="1" ht="56.25" x14ac:dyDescent="0.3">
      <c r="A75" s="68" t="str">
        <f t="shared" si="0"/>
        <v>п</v>
      </c>
      <c r="B75" s="69" t="s">
        <v>6</v>
      </c>
      <c r="C75" s="33"/>
      <c r="D75" s="118">
        <v>1015031</v>
      </c>
      <c r="E75" s="94" t="s">
        <v>32</v>
      </c>
      <c r="F75" s="95" t="s">
        <v>122</v>
      </c>
      <c r="G75" s="96" t="s">
        <v>362</v>
      </c>
      <c r="H75" s="135"/>
      <c r="I75" s="136"/>
      <c r="J75" s="137">
        <f t="shared" si="1"/>
        <v>60000</v>
      </c>
      <c r="K75" s="138">
        <v>60000</v>
      </c>
      <c r="L75" s="138"/>
      <c r="M75" s="138"/>
    </row>
    <row r="76" spans="1:13" s="104" customFormat="1" ht="60.75" customHeight="1" x14ac:dyDescent="0.3">
      <c r="A76" s="68" t="str">
        <f t="shared" si="0"/>
        <v>п</v>
      </c>
      <c r="B76" s="69" t="s">
        <v>6</v>
      </c>
      <c r="C76" s="33"/>
      <c r="D76" s="118" t="s">
        <v>223</v>
      </c>
      <c r="E76" s="94" t="s">
        <v>34</v>
      </c>
      <c r="F76" s="95" t="s">
        <v>122</v>
      </c>
      <c r="G76" s="96" t="s">
        <v>35</v>
      </c>
      <c r="H76" s="135"/>
      <c r="I76" s="136"/>
      <c r="J76" s="137">
        <f t="shared" si="1"/>
        <v>38000</v>
      </c>
      <c r="K76" s="138">
        <v>38000</v>
      </c>
      <c r="L76" s="138"/>
      <c r="M76" s="138"/>
    </row>
    <row r="77" spans="1:13" s="26" customFormat="1" ht="49.5" hidden="1" customHeight="1" x14ac:dyDescent="0.3">
      <c r="A77" s="9" t="str">
        <f t="shared" si="0"/>
        <v/>
      </c>
      <c r="B77" s="31" t="s">
        <v>6</v>
      </c>
      <c r="C77" s="34"/>
      <c r="D77" s="331"/>
      <c r="E77" s="123"/>
      <c r="F77" s="124"/>
      <c r="G77" s="125" t="s">
        <v>10</v>
      </c>
      <c r="H77" s="146"/>
      <c r="I77" s="41"/>
      <c r="J77" s="56">
        <f t="shared" si="1"/>
        <v>0</v>
      </c>
      <c r="K77" s="28"/>
      <c r="L77" s="28"/>
      <c r="M77" s="28"/>
    </row>
    <row r="78" spans="1:13" s="104" customFormat="1" ht="57" thickBot="1" x14ac:dyDescent="0.35">
      <c r="A78" s="68" t="str">
        <f t="shared" si="0"/>
        <v>п</v>
      </c>
      <c r="B78" s="69" t="s">
        <v>6</v>
      </c>
      <c r="C78" s="33"/>
      <c r="D78" s="118" t="s">
        <v>224</v>
      </c>
      <c r="E78" s="94" t="s">
        <v>36</v>
      </c>
      <c r="F78" s="95" t="s">
        <v>122</v>
      </c>
      <c r="G78" s="96" t="s">
        <v>141</v>
      </c>
      <c r="H78" s="135"/>
      <c r="I78" s="136"/>
      <c r="J78" s="137">
        <f t="shared" si="1"/>
        <v>369171</v>
      </c>
      <c r="K78" s="138">
        <v>369171</v>
      </c>
      <c r="L78" s="138"/>
      <c r="M78" s="138"/>
    </row>
    <row r="79" spans="1:13" s="12" customFormat="1" ht="21" hidden="1" customHeight="1" x14ac:dyDescent="0.3">
      <c r="A79" s="9" t="str">
        <f t="shared" si="0"/>
        <v/>
      </c>
      <c r="B79" s="69" t="s">
        <v>147</v>
      </c>
      <c r="C79" s="33"/>
      <c r="D79" s="86" t="s">
        <v>15</v>
      </c>
      <c r="E79" s="86"/>
      <c r="F79" s="86"/>
      <c r="G79" s="88" t="s">
        <v>369</v>
      </c>
      <c r="H79" s="89"/>
      <c r="I79" s="90"/>
      <c r="J79" s="91">
        <f t="shared" si="1"/>
        <v>0</v>
      </c>
      <c r="K79" s="92">
        <f>K80</f>
        <v>0</v>
      </c>
      <c r="L79" s="92">
        <f>+L81</f>
        <v>0</v>
      </c>
      <c r="M79" s="92">
        <f>+M81</f>
        <v>0</v>
      </c>
    </row>
    <row r="80" spans="1:13" s="12" customFormat="1" ht="21" hidden="1" customHeight="1" x14ac:dyDescent="0.3">
      <c r="A80" s="9" t="str">
        <f t="shared" si="0"/>
        <v/>
      </c>
      <c r="B80" s="69" t="s">
        <v>147</v>
      </c>
      <c r="C80" s="33" t="s">
        <v>8</v>
      </c>
      <c r="D80" s="86" t="s">
        <v>14</v>
      </c>
      <c r="E80" s="86"/>
      <c r="F80" s="86"/>
      <c r="G80" s="88" t="s">
        <v>369</v>
      </c>
      <c r="H80" s="89"/>
      <c r="I80" s="90"/>
      <c r="J80" s="91">
        <f>+K80+L80</f>
        <v>0</v>
      </c>
      <c r="K80" s="92">
        <f>SUM(K81:K82)</f>
        <v>0</v>
      </c>
      <c r="L80" s="92">
        <f>SUM(L81:L82)</f>
        <v>0</v>
      </c>
      <c r="M80" s="92">
        <f>SUM(M81:M82)</f>
        <v>0</v>
      </c>
    </row>
    <row r="81" spans="1:13" s="12" customFormat="1" ht="40.5" hidden="1" customHeight="1" x14ac:dyDescent="0.3">
      <c r="A81" s="9" t="str">
        <f t="shared" si="0"/>
        <v/>
      </c>
      <c r="B81" s="69" t="s">
        <v>147</v>
      </c>
      <c r="C81" s="33"/>
      <c r="D81" s="118" t="s">
        <v>226</v>
      </c>
      <c r="E81" s="94" t="s">
        <v>31</v>
      </c>
      <c r="F81" s="95" t="s">
        <v>122</v>
      </c>
      <c r="G81" s="96" t="s">
        <v>133</v>
      </c>
      <c r="H81" s="135"/>
      <c r="I81" s="136"/>
      <c r="J81" s="137">
        <f t="shared" ref="J81" si="21">+K81+L81</f>
        <v>0</v>
      </c>
      <c r="K81" s="138"/>
      <c r="L81" s="17"/>
      <c r="M81" s="17"/>
    </row>
    <row r="82" spans="1:13" s="12" customFormat="1" ht="30.75" hidden="1" customHeight="1" thickBot="1" x14ac:dyDescent="0.3">
      <c r="A82" s="9" t="str">
        <f t="shared" si="0"/>
        <v/>
      </c>
      <c r="B82" s="10" t="s">
        <v>147</v>
      </c>
      <c r="C82" s="33"/>
      <c r="D82" s="117"/>
      <c r="E82" s="116"/>
      <c r="F82" s="117"/>
      <c r="G82" s="314"/>
      <c r="H82" s="140"/>
      <c r="I82" s="40"/>
      <c r="J82" s="18">
        <f t="shared" si="1"/>
        <v>0</v>
      </c>
      <c r="K82" s="18"/>
      <c r="L82" s="17"/>
      <c r="M82" s="17"/>
    </row>
    <row r="83" spans="1:13" s="105" customFormat="1" ht="87.75" customHeight="1" x14ac:dyDescent="0.3">
      <c r="A83" s="68" t="str">
        <f t="shared" si="0"/>
        <v>п</v>
      </c>
      <c r="B83" s="69"/>
      <c r="C83" s="10"/>
      <c r="D83" s="142"/>
      <c r="E83" s="80"/>
      <c r="F83" s="142"/>
      <c r="G83" s="80"/>
      <c r="H83" s="81" t="s">
        <v>352</v>
      </c>
      <c r="I83" s="82" t="s">
        <v>358</v>
      </c>
      <c r="J83" s="83">
        <f t="shared" si="1"/>
        <v>83269</v>
      </c>
      <c r="K83" s="84">
        <f t="shared" ref="K83:M84" si="22">K84</f>
        <v>83269</v>
      </c>
      <c r="L83" s="84">
        <f t="shared" si="22"/>
        <v>0</v>
      </c>
      <c r="M83" s="84">
        <f t="shared" si="22"/>
        <v>0</v>
      </c>
    </row>
    <row r="84" spans="1:13" s="144" customFormat="1" ht="27" customHeight="1" x14ac:dyDescent="0.35">
      <c r="A84" s="68" t="str">
        <f t="shared" si="0"/>
        <v>п</v>
      </c>
      <c r="B84" s="69" t="s">
        <v>147</v>
      </c>
      <c r="C84" s="33"/>
      <c r="D84" s="86" t="s">
        <v>15</v>
      </c>
      <c r="E84" s="86"/>
      <c r="F84" s="86"/>
      <c r="G84" s="88" t="s">
        <v>369</v>
      </c>
      <c r="H84" s="89"/>
      <c r="I84" s="90"/>
      <c r="J84" s="91">
        <f>+K84+L84</f>
        <v>83269</v>
      </c>
      <c r="K84" s="92">
        <f t="shared" si="22"/>
        <v>83269</v>
      </c>
      <c r="L84" s="92">
        <f t="shared" si="22"/>
        <v>0</v>
      </c>
      <c r="M84" s="92">
        <f t="shared" si="22"/>
        <v>0</v>
      </c>
    </row>
    <row r="85" spans="1:13" s="144" customFormat="1" ht="27" customHeight="1" x14ac:dyDescent="0.35">
      <c r="A85" s="68" t="str">
        <f t="shared" si="0"/>
        <v>п</v>
      </c>
      <c r="B85" s="69" t="s">
        <v>147</v>
      </c>
      <c r="C85" s="33"/>
      <c r="D85" s="86" t="s">
        <v>14</v>
      </c>
      <c r="E85" s="86"/>
      <c r="F85" s="86"/>
      <c r="G85" s="88" t="s">
        <v>369</v>
      </c>
      <c r="H85" s="89"/>
      <c r="I85" s="90"/>
      <c r="J85" s="91">
        <f>+K85+L85</f>
        <v>83269</v>
      </c>
      <c r="K85" s="92">
        <f>SUM(K86:K90)-K90</f>
        <v>83269</v>
      </c>
      <c r="L85" s="92">
        <f>SUM(L86:L90)-L90</f>
        <v>0</v>
      </c>
      <c r="M85" s="92">
        <f>SUM(M86:M90)-M90</f>
        <v>0</v>
      </c>
    </row>
    <row r="86" spans="1:13" s="104" customFormat="1" ht="37.5" x14ac:dyDescent="0.3">
      <c r="A86" s="68" t="str">
        <f t="shared" si="0"/>
        <v>п</v>
      </c>
      <c r="B86" s="69" t="s">
        <v>147</v>
      </c>
      <c r="C86" s="33"/>
      <c r="D86" s="118" t="s">
        <v>37</v>
      </c>
      <c r="E86" s="94" t="s">
        <v>38</v>
      </c>
      <c r="F86" s="118" t="s">
        <v>130</v>
      </c>
      <c r="G86" s="96" t="s">
        <v>134</v>
      </c>
      <c r="H86" s="97"/>
      <c r="I86" s="98"/>
      <c r="J86" s="99">
        <f t="shared" si="1"/>
        <v>36974</v>
      </c>
      <c r="K86" s="100">
        <v>36974</v>
      </c>
      <c r="L86" s="100"/>
      <c r="M86" s="100"/>
    </row>
    <row r="87" spans="1:13" s="104" customFormat="1" ht="27.75" hidden="1" customHeight="1" x14ac:dyDescent="0.3">
      <c r="A87" s="68" t="str">
        <f t="shared" si="0"/>
        <v/>
      </c>
      <c r="B87" s="69" t="s">
        <v>147</v>
      </c>
      <c r="C87" s="33"/>
      <c r="D87" s="265" t="s">
        <v>62</v>
      </c>
      <c r="E87" s="116">
        <v>9770</v>
      </c>
      <c r="F87" s="265" t="s">
        <v>126</v>
      </c>
      <c r="G87" s="314" t="s">
        <v>64</v>
      </c>
      <c r="H87" s="135"/>
      <c r="I87" s="136"/>
      <c r="J87" s="99">
        <f t="shared" si="1"/>
        <v>0</v>
      </c>
      <c r="K87" s="138">
        <f>247115-247115</f>
        <v>0</v>
      </c>
      <c r="L87" s="138"/>
      <c r="M87" s="138"/>
    </row>
    <row r="88" spans="1:13" s="104" customFormat="1" ht="68.25" customHeight="1" thickBot="1" x14ac:dyDescent="0.35">
      <c r="A88" s="68" t="str">
        <f t="shared" si="0"/>
        <v>п</v>
      </c>
      <c r="B88" s="69" t="s">
        <v>147</v>
      </c>
      <c r="C88" s="33"/>
      <c r="D88" s="117" t="s">
        <v>367</v>
      </c>
      <c r="E88" s="116">
        <v>3114</v>
      </c>
      <c r="F88" s="117" t="s">
        <v>130</v>
      </c>
      <c r="G88" s="143" t="s">
        <v>368</v>
      </c>
      <c r="H88" s="135"/>
      <c r="I88" s="136"/>
      <c r="J88" s="99">
        <f t="shared" si="1"/>
        <v>46295</v>
      </c>
      <c r="K88" s="138">
        <v>46295</v>
      </c>
      <c r="L88" s="138"/>
      <c r="M88" s="138"/>
    </row>
    <row r="89" spans="1:13" s="104" customFormat="1" ht="98.25" hidden="1" customHeight="1" x14ac:dyDescent="0.35">
      <c r="A89" s="68" t="str">
        <f t="shared" si="0"/>
        <v/>
      </c>
      <c r="B89" s="69" t="s">
        <v>147</v>
      </c>
      <c r="C89" s="33"/>
      <c r="D89" s="117" t="s">
        <v>252</v>
      </c>
      <c r="E89" s="116">
        <v>6083</v>
      </c>
      <c r="F89" s="117" t="s">
        <v>105</v>
      </c>
      <c r="G89" s="143" t="s">
        <v>253</v>
      </c>
      <c r="H89" s="135"/>
      <c r="I89" s="136"/>
      <c r="J89" s="99">
        <f t="shared" ref="J89:J90" si="23">+K89+L89</f>
        <v>0</v>
      </c>
      <c r="K89" s="138"/>
      <c r="L89" s="138"/>
      <c r="M89" s="138"/>
    </row>
    <row r="90" spans="1:13" s="362" customFormat="1" ht="24" hidden="1" customHeight="1" thickBot="1" x14ac:dyDescent="0.3">
      <c r="A90" s="68" t="str">
        <f t="shared" si="0"/>
        <v/>
      </c>
      <c r="B90" s="69" t="s">
        <v>147</v>
      </c>
      <c r="C90" s="355"/>
      <c r="D90" s="356"/>
      <c r="E90" s="357"/>
      <c r="F90" s="357"/>
      <c r="G90" s="358" t="s">
        <v>10</v>
      </c>
      <c r="H90" s="359"/>
      <c r="I90" s="360"/>
      <c r="J90" s="361">
        <f t="shared" si="23"/>
        <v>0</v>
      </c>
      <c r="K90" s="361"/>
      <c r="L90" s="361"/>
      <c r="M90" s="361"/>
    </row>
    <row r="91" spans="1:13" s="104" customFormat="1" ht="38.25" customHeight="1" x14ac:dyDescent="0.3">
      <c r="A91" s="68" t="str">
        <f t="shared" si="0"/>
        <v>п</v>
      </c>
      <c r="B91" s="69"/>
      <c r="C91" s="10"/>
      <c r="D91" s="79"/>
      <c r="E91" s="78"/>
      <c r="F91" s="79"/>
      <c r="G91" s="80"/>
      <c r="H91" s="81" t="s">
        <v>204</v>
      </c>
      <c r="I91" s="82" t="s">
        <v>219</v>
      </c>
      <c r="J91" s="83">
        <f>+K91+L91</f>
        <v>11260350</v>
      </c>
      <c r="K91" s="84">
        <f>+K92+K121</f>
        <v>11260350</v>
      </c>
      <c r="L91" s="85">
        <f>+L92+L121</f>
        <v>0</v>
      </c>
      <c r="M91" s="85">
        <f>+M92+M121</f>
        <v>0</v>
      </c>
    </row>
    <row r="92" spans="1:13" s="105" customFormat="1" ht="19.5" x14ac:dyDescent="0.3">
      <c r="A92" s="68" t="str">
        <f t="shared" si="0"/>
        <v>п</v>
      </c>
      <c r="B92" s="69" t="s">
        <v>149</v>
      </c>
      <c r="C92" s="10"/>
      <c r="D92" s="86" t="s">
        <v>41</v>
      </c>
      <c r="E92" s="87"/>
      <c r="F92" s="87"/>
      <c r="G92" s="88" t="s">
        <v>372</v>
      </c>
      <c r="H92" s="89"/>
      <c r="I92" s="90"/>
      <c r="J92" s="91">
        <f>+K92+L92</f>
        <v>11260350</v>
      </c>
      <c r="K92" s="92">
        <f>K93</f>
        <v>11260350</v>
      </c>
      <c r="L92" s="92">
        <f>L93</f>
        <v>0</v>
      </c>
      <c r="M92" s="92">
        <f>M93</f>
        <v>0</v>
      </c>
    </row>
    <row r="93" spans="1:13" s="105" customFormat="1" ht="19.5" x14ac:dyDescent="0.3">
      <c r="A93" s="68" t="str">
        <f t="shared" si="0"/>
        <v>п</v>
      </c>
      <c r="B93" s="69" t="s">
        <v>149</v>
      </c>
      <c r="C93" s="10"/>
      <c r="D93" s="86" t="s">
        <v>42</v>
      </c>
      <c r="E93" s="87"/>
      <c r="F93" s="87"/>
      <c r="G93" s="88" t="s">
        <v>372</v>
      </c>
      <c r="H93" s="89"/>
      <c r="I93" s="90"/>
      <c r="J93" s="91">
        <f>+K93+L93</f>
        <v>11260350</v>
      </c>
      <c r="K93" s="92">
        <f>SUM(K94:K120)-K99-K100-K109-K96-K120-K105-K97-K101-K103</f>
        <v>11260350</v>
      </c>
      <c r="L93" s="92">
        <f>SUM(L94:L120)-L99-L100-L109-L96-L120-L105-L97-L101-L103</f>
        <v>0</v>
      </c>
      <c r="M93" s="92">
        <f t="shared" ref="M93" si="24">SUM(M94:M120)-M99-M100-M109-M96-M120-M105-M97-M101-M103</f>
        <v>0</v>
      </c>
    </row>
    <row r="94" spans="1:13" s="12" customFormat="1" ht="56.25" hidden="1" x14ac:dyDescent="0.25">
      <c r="A94" s="9" t="str">
        <f t="shared" si="0"/>
        <v/>
      </c>
      <c r="B94" s="10" t="s">
        <v>149</v>
      </c>
      <c r="C94" s="10"/>
      <c r="D94" s="118" t="s">
        <v>108</v>
      </c>
      <c r="E94" s="94" t="s">
        <v>76</v>
      </c>
      <c r="F94" s="95" t="s">
        <v>77</v>
      </c>
      <c r="G94" s="96" t="s">
        <v>78</v>
      </c>
      <c r="H94" s="135"/>
      <c r="I94" s="40"/>
      <c r="J94" s="55">
        <f t="shared" ref="J94:J158" si="25">+K94+L94</f>
        <v>0</v>
      </c>
      <c r="K94" s="18"/>
      <c r="L94" s="18"/>
      <c r="M94" s="18"/>
    </row>
    <row r="95" spans="1:13" s="104" customFormat="1" x14ac:dyDescent="0.3">
      <c r="A95" s="68" t="str">
        <f>IF(J95=0,"","п")</f>
        <v>п</v>
      </c>
      <c r="B95" s="69" t="s">
        <v>149</v>
      </c>
      <c r="C95" s="10"/>
      <c r="D95" s="118" t="s">
        <v>43</v>
      </c>
      <c r="E95" s="94">
        <v>1010</v>
      </c>
      <c r="F95" s="95" t="s">
        <v>127</v>
      </c>
      <c r="G95" s="96" t="s">
        <v>44</v>
      </c>
      <c r="H95" s="135"/>
      <c r="I95" s="136"/>
      <c r="J95" s="137">
        <f>+K95+L95</f>
        <v>183000</v>
      </c>
      <c r="K95" s="138">
        <v>183000</v>
      </c>
      <c r="L95" s="138"/>
      <c r="M95" s="138"/>
    </row>
    <row r="96" spans="1:13" s="26" customFormat="1" ht="44.25" hidden="1" customHeight="1" x14ac:dyDescent="0.3">
      <c r="A96" s="9" t="str">
        <f t="shared" si="0"/>
        <v/>
      </c>
      <c r="B96" s="69" t="s">
        <v>149</v>
      </c>
      <c r="C96" s="31"/>
      <c r="D96" s="331"/>
      <c r="E96" s="123"/>
      <c r="F96" s="124"/>
      <c r="G96" s="145" t="s">
        <v>10</v>
      </c>
      <c r="H96" s="146"/>
      <c r="I96" s="147"/>
      <c r="J96" s="148">
        <f t="shared" si="25"/>
        <v>0</v>
      </c>
      <c r="K96" s="149"/>
      <c r="L96" s="18"/>
      <c r="M96" s="18"/>
    </row>
    <row r="97" spans="1:13" s="141" customFormat="1" ht="37.5" x14ac:dyDescent="0.3">
      <c r="A97" s="68" t="str">
        <f>IF(J97=0,"","п")</f>
        <v>п</v>
      </c>
      <c r="B97" s="69" t="s">
        <v>149</v>
      </c>
      <c r="C97" s="31"/>
      <c r="D97" s="331"/>
      <c r="E97" s="123"/>
      <c r="F97" s="124"/>
      <c r="G97" s="145" t="s">
        <v>207</v>
      </c>
      <c r="H97" s="146"/>
      <c r="I97" s="147"/>
      <c r="J97" s="148">
        <f>+K97+L97</f>
        <v>183000</v>
      </c>
      <c r="K97" s="149">
        <v>183000</v>
      </c>
      <c r="L97" s="138"/>
      <c r="M97" s="138"/>
    </row>
    <row r="98" spans="1:13" s="104" customFormat="1" ht="57" customHeight="1" x14ac:dyDescent="0.3">
      <c r="A98" s="68" t="str">
        <f t="shared" si="0"/>
        <v>п</v>
      </c>
      <c r="B98" s="69" t="s">
        <v>149</v>
      </c>
      <c r="C98" s="10"/>
      <c r="D98" s="118" t="s">
        <v>209</v>
      </c>
      <c r="E98" s="94">
        <v>1021</v>
      </c>
      <c r="F98" s="95" t="s">
        <v>128</v>
      </c>
      <c r="G98" s="96" t="s">
        <v>277</v>
      </c>
      <c r="H98" s="135"/>
      <c r="I98" s="136"/>
      <c r="J98" s="137">
        <f t="shared" si="25"/>
        <v>10783500</v>
      </c>
      <c r="K98" s="138">
        <f>10000000+300000+483500</f>
        <v>10783500</v>
      </c>
      <c r="L98" s="138"/>
      <c r="M98" s="138"/>
    </row>
    <row r="99" spans="1:13" s="26" customFormat="1" ht="37.5" hidden="1" x14ac:dyDescent="0.3">
      <c r="A99" s="9" t="str">
        <f t="shared" si="0"/>
        <v/>
      </c>
      <c r="B99" s="10" t="s">
        <v>149</v>
      </c>
      <c r="C99" s="10"/>
      <c r="D99" s="331"/>
      <c r="E99" s="123"/>
      <c r="F99" s="124"/>
      <c r="G99" s="145" t="s">
        <v>12</v>
      </c>
      <c r="H99" s="150"/>
      <c r="I99" s="41"/>
      <c r="J99" s="28">
        <f t="shared" si="25"/>
        <v>0</v>
      </c>
      <c r="K99" s="28"/>
      <c r="L99" s="28"/>
      <c r="M99" s="28"/>
    </row>
    <row r="100" spans="1:13" s="26" customFormat="1" ht="37.5" hidden="1" x14ac:dyDescent="0.3">
      <c r="A100" s="9" t="str">
        <f t="shared" si="0"/>
        <v/>
      </c>
      <c r="B100" s="10" t="s">
        <v>149</v>
      </c>
      <c r="C100" s="31"/>
      <c r="D100" s="331"/>
      <c r="E100" s="123"/>
      <c r="F100" s="124"/>
      <c r="G100" s="145" t="s">
        <v>10</v>
      </c>
      <c r="H100" s="146"/>
      <c r="I100" s="41"/>
      <c r="J100" s="56">
        <f t="shared" si="25"/>
        <v>0</v>
      </c>
      <c r="K100" s="62"/>
      <c r="L100" s="28"/>
      <c r="M100" s="28"/>
    </row>
    <row r="101" spans="1:13" s="141" customFormat="1" ht="37.5" x14ac:dyDescent="0.3">
      <c r="A101" s="68" t="str">
        <f t="shared" si="0"/>
        <v>п</v>
      </c>
      <c r="B101" s="69" t="s">
        <v>149</v>
      </c>
      <c r="C101" s="31"/>
      <c r="D101" s="331"/>
      <c r="E101" s="123"/>
      <c r="F101" s="124"/>
      <c r="G101" s="145" t="s">
        <v>227</v>
      </c>
      <c r="H101" s="146"/>
      <c r="I101" s="147"/>
      <c r="J101" s="148">
        <f t="shared" si="25"/>
        <v>300000</v>
      </c>
      <c r="K101" s="149">
        <v>300000</v>
      </c>
      <c r="L101" s="138"/>
      <c r="M101" s="138"/>
    </row>
    <row r="102" spans="1:13" s="141" customFormat="1" ht="37.5" hidden="1" x14ac:dyDescent="0.3">
      <c r="A102" s="68" t="str">
        <f t="shared" si="0"/>
        <v/>
      </c>
      <c r="B102" s="69" t="s">
        <v>149</v>
      </c>
      <c r="C102" s="31"/>
      <c r="D102" s="118" t="s">
        <v>239</v>
      </c>
      <c r="E102" s="94">
        <v>1061</v>
      </c>
      <c r="F102" s="95" t="s">
        <v>128</v>
      </c>
      <c r="G102" s="96" t="s">
        <v>211</v>
      </c>
      <c r="H102" s="135"/>
      <c r="I102" s="136"/>
      <c r="J102" s="148">
        <f t="shared" si="25"/>
        <v>0</v>
      </c>
      <c r="K102" s="138"/>
      <c r="L102" s="138"/>
      <c r="M102" s="138"/>
    </row>
    <row r="103" spans="1:13" s="141" customFormat="1" ht="37.5" hidden="1" x14ac:dyDescent="0.3">
      <c r="A103" s="322" t="str">
        <f t="shared" si="0"/>
        <v/>
      </c>
      <c r="B103" s="323" t="s">
        <v>149</v>
      </c>
      <c r="C103" s="324"/>
      <c r="D103" s="331"/>
      <c r="E103" s="123"/>
      <c r="F103" s="124"/>
      <c r="G103" s="145" t="s">
        <v>240</v>
      </c>
      <c r="H103" s="146"/>
      <c r="I103" s="147"/>
      <c r="J103" s="148">
        <f t="shared" si="25"/>
        <v>0</v>
      </c>
      <c r="K103" s="149"/>
      <c r="L103" s="149"/>
      <c r="M103" s="149"/>
    </row>
    <row r="104" spans="1:13" s="12" customFormat="1" ht="59.25" hidden="1" customHeight="1" x14ac:dyDescent="0.25">
      <c r="A104" s="9" t="str">
        <f t="shared" si="0"/>
        <v/>
      </c>
      <c r="B104" s="10" t="s">
        <v>149</v>
      </c>
      <c r="C104" s="10"/>
      <c r="D104" s="118" t="s">
        <v>212</v>
      </c>
      <c r="E104" s="94">
        <v>1070</v>
      </c>
      <c r="F104" s="95" t="s">
        <v>101</v>
      </c>
      <c r="G104" s="96" t="s">
        <v>102</v>
      </c>
      <c r="H104" s="135"/>
      <c r="I104" s="40"/>
      <c r="J104" s="55">
        <f t="shared" si="25"/>
        <v>0</v>
      </c>
      <c r="K104" s="18"/>
      <c r="L104" s="18"/>
      <c r="M104" s="18"/>
    </row>
    <row r="105" spans="1:13" s="26" customFormat="1" ht="42.75" hidden="1" customHeight="1" x14ac:dyDescent="0.3">
      <c r="A105" s="9" t="str">
        <f t="shared" ref="A105:A203" si="26">IF(J105=0,"","п")</f>
        <v/>
      </c>
      <c r="B105" s="31" t="s">
        <v>149</v>
      </c>
      <c r="C105" s="31"/>
      <c r="D105" s="331"/>
      <c r="E105" s="123"/>
      <c r="F105" s="124"/>
      <c r="G105" s="145" t="s">
        <v>10</v>
      </c>
      <c r="H105" s="146"/>
      <c r="I105" s="41"/>
      <c r="J105" s="56">
        <f t="shared" si="25"/>
        <v>0</v>
      </c>
      <c r="K105" s="28"/>
      <c r="L105" s="28"/>
      <c r="M105" s="28"/>
    </row>
    <row r="106" spans="1:13" s="104" customFormat="1" ht="83.25" hidden="1" customHeight="1" x14ac:dyDescent="0.3">
      <c r="A106" s="68" t="str">
        <f>IF(J106=0,"","п")</f>
        <v/>
      </c>
      <c r="B106" s="69" t="s">
        <v>149</v>
      </c>
      <c r="C106" s="10"/>
      <c r="D106" s="118" t="s">
        <v>216</v>
      </c>
      <c r="E106" s="94">
        <v>1200</v>
      </c>
      <c r="F106" s="95" t="s">
        <v>161</v>
      </c>
      <c r="G106" s="96" t="s">
        <v>217</v>
      </c>
      <c r="H106" s="135"/>
      <c r="I106" s="136"/>
      <c r="J106" s="137">
        <f>+K106+L106</f>
        <v>0</v>
      </c>
      <c r="K106" s="138"/>
      <c r="L106" s="138"/>
      <c r="M106" s="138"/>
    </row>
    <row r="107" spans="1:13" s="141" customFormat="1" ht="75" hidden="1" x14ac:dyDescent="0.3">
      <c r="A107" s="68" t="str">
        <f t="shared" ref="A107" si="27">IF(J107=0,"","п")</f>
        <v/>
      </c>
      <c r="B107" s="69" t="s">
        <v>149</v>
      </c>
      <c r="C107" s="10"/>
      <c r="D107" s="118" t="s">
        <v>235</v>
      </c>
      <c r="E107" s="94">
        <v>1210</v>
      </c>
      <c r="F107" s="95" t="s">
        <v>161</v>
      </c>
      <c r="G107" s="96" t="s">
        <v>236</v>
      </c>
      <c r="H107" s="150"/>
      <c r="I107" s="147"/>
      <c r="J107" s="138">
        <f t="shared" ref="J107:J110" si="28">+K107+L107</f>
        <v>0</v>
      </c>
      <c r="K107" s="138"/>
      <c r="L107" s="138"/>
      <c r="M107" s="138"/>
    </row>
    <row r="108" spans="1:13" s="12" customFormat="1" ht="42" hidden="1" customHeight="1" x14ac:dyDescent="0.25">
      <c r="A108" s="9" t="str">
        <f t="shared" si="26"/>
        <v/>
      </c>
      <c r="B108" s="10" t="s">
        <v>149</v>
      </c>
      <c r="C108" s="10"/>
      <c r="D108" s="118" t="s">
        <v>214</v>
      </c>
      <c r="E108" s="94">
        <v>1151</v>
      </c>
      <c r="F108" s="95" t="s">
        <v>161</v>
      </c>
      <c r="G108" s="96" t="s">
        <v>215</v>
      </c>
      <c r="H108" s="135"/>
      <c r="I108" s="40"/>
      <c r="J108" s="138">
        <f t="shared" si="28"/>
        <v>0</v>
      </c>
      <c r="K108" s="138"/>
      <c r="L108" s="138"/>
      <c r="M108" s="138"/>
    </row>
    <row r="109" spans="1:13" s="26" customFormat="1" ht="42.75" hidden="1" customHeight="1" x14ac:dyDescent="0.3">
      <c r="A109" s="9" t="str">
        <f t="shared" si="26"/>
        <v/>
      </c>
      <c r="B109" s="31" t="s">
        <v>149</v>
      </c>
      <c r="C109" s="31"/>
      <c r="D109" s="331"/>
      <c r="E109" s="123"/>
      <c r="F109" s="124"/>
      <c r="G109" s="145" t="s">
        <v>10</v>
      </c>
      <c r="H109" s="146"/>
      <c r="I109" s="41"/>
      <c r="J109" s="138">
        <f t="shared" si="28"/>
        <v>0</v>
      </c>
      <c r="K109" s="149"/>
      <c r="L109" s="149"/>
      <c r="M109" s="149"/>
    </row>
    <row r="110" spans="1:13" s="26" customFormat="1" ht="93" hidden="1" customHeight="1" x14ac:dyDescent="0.3">
      <c r="A110" s="9" t="str">
        <f t="shared" si="26"/>
        <v/>
      </c>
      <c r="B110" s="120" t="s">
        <v>149</v>
      </c>
      <c r="C110" s="31"/>
      <c r="D110" s="118" t="s">
        <v>238</v>
      </c>
      <c r="E110" s="94">
        <v>1154</v>
      </c>
      <c r="F110" s="95" t="s">
        <v>161</v>
      </c>
      <c r="G110" s="96" t="s">
        <v>237</v>
      </c>
      <c r="H110" s="135"/>
      <c r="I110" s="40"/>
      <c r="J110" s="138">
        <f t="shared" si="28"/>
        <v>0</v>
      </c>
      <c r="K110" s="138"/>
      <c r="L110" s="138"/>
      <c r="M110" s="138"/>
    </row>
    <row r="111" spans="1:13" s="12" customFormat="1" ht="42.75" hidden="1" customHeight="1" x14ac:dyDescent="0.25">
      <c r="A111" s="9" t="str">
        <f t="shared" si="26"/>
        <v/>
      </c>
      <c r="B111" s="10" t="s">
        <v>149</v>
      </c>
      <c r="C111" s="10"/>
      <c r="D111" s="118" t="s">
        <v>294</v>
      </c>
      <c r="E111" s="94" t="s">
        <v>295</v>
      </c>
      <c r="F111" s="95" t="s">
        <v>161</v>
      </c>
      <c r="G111" s="96" t="s">
        <v>296</v>
      </c>
      <c r="H111" s="135"/>
      <c r="I111" s="40"/>
      <c r="J111" s="137">
        <f t="shared" si="25"/>
        <v>0</v>
      </c>
      <c r="K111" s="138"/>
      <c r="L111" s="138"/>
      <c r="M111" s="138"/>
    </row>
    <row r="112" spans="1:13" s="104" customFormat="1" ht="24" customHeight="1" x14ac:dyDescent="0.3">
      <c r="A112" s="68" t="str">
        <f t="shared" si="26"/>
        <v>п</v>
      </c>
      <c r="B112" s="69" t="s">
        <v>149</v>
      </c>
      <c r="C112" s="10"/>
      <c r="D112" s="118" t="s">
        <v>213</v>
      </c>
      <c r="E112" s="94">
        <v>1142</v>
      </c>
      <c r="F112" s="95" t="s">
        <v>161</v>
      </c>
      <c r="G112" s="96" t="s">
        <v>162</v>
      </c>
      <c r="H112" s="135"/>
      <c r="I112" s="136"/>
      <c r="J112" s="137">
        <f t="shared" si="25"/>
        <v>27150</v>
      </c>
      <c r="K112" s="138">
        <v>27150</v>
      </c>
      <c r="L112" s="138"/>
      <c r="M112" s="138"/>
    </row>
    <row r="113" spans="1:13" s="104" customFormat="1" ht="102.75" hidden="1" customHeight="1" x14ac:dyDescent="0.3">
      <c r="A113" s="68" t="str">
        <f t="shared" si="26"/>
        <v/>
      </c>
      <c r="B113" s="69" t="s">
        <v>149</v>
      </c>
      <c r="C113" s="10"/>
      <c r="D113" s="118" t="s">
        <v>241</v>
      </c>
      <c r="E113" s="94">
        <v>1181</v>
      </c>
      <c r="F113" s="95" t="s">
        <v>161</v>
      </c>
      <c r="G113" s="96" t="s">
        <v>324</v>
      </c>
      <c r="H113" s="135"/>
      <c r="I113" s="136"/>
      <c r="J113" s="137">
        <f t="shared" si="25"/>
        <v>0</v>
      </c>
      <c r="K113" s="138"/>
      <c r="L113" s="138"/>
      <c r="M113" s="138"/>
    </row>
    <row r="114" spans="1:13" s="104" customFormat="1" ht="84" hidden="1" customHeight="1" x14ac:dyDescent="0.3">
      <c r="A114" s="68" t="str">
        <f t="shared" si="26"/>
        <v/>
      </c>
      <c r="B114" s="69" t="s">
        <v>149</v>
      </c>
      <c r="C114" s="10"/>
      <c r="D114" s="118" t="s">
        <v>242</v>
      </c>
      <c r="E114" s="94">
        <v>1182</v>
      </c>
      <c r="F114" s="95" t="s">
        <v>161</v>
      </c>
      <c r="G114" s="96" t="s">
        <v>243</v>
      </c>
      <c r="H114" s="135"/>
      <c r="I114" s="136"/>
      <c r="J114" s="137">
        <f t="shared" si="25"/>
        <v>0</v>
      </c>
      <c r="K114" s="138"/>
      <c r="L114" s="138"/>
      <c r="M114" s="138"/>
    </row>
    <row r="115" spans="1:13" s="104" customFormat="1" ht="140.25" hidden="1" customHeight="1" x14ac:dyDescent="0.3">
      <c r="A115" s="68" t="str">
        <f t="shared" si="26"/>
        <v/>
      </c>
      <c r="B115" s="69" t="s">
        <v>149</v>
      </c>
      <c r="C115" s="10"/>
      <c r="D115" s="118" t="s">
        <v>327</v>
      </c>
      <c r="E115" s="94">
        <v>1291</v>
      </c>
      <c r="F115" s="95" t="s">
        <v>161</v>
      </c>
      <c r="G115" s="96" t="s">
        <v>325</v>
      </c>
      <c r="H115" s="135"/>
      <c r="I115" s="136"/>
      <c r="J115" s="137">
        <f t="shared" si="25"/>
        <v>0</v>
      </c>
      <c r="K115" s="138"/>
      <c r="L115" s="138"/>
      <c r="M115" s="138"/>
    </row>
    <row r="116" spans="1:13" s="104" customFormat="1" ht="124.5" hidden="1" customHeight="1" x14ac:dyDescent="0.3">
      <c r="A116" s="68" t="str">
        <f t="shared" si="26"/>
        <v/>
      </c>
      <c r="B116" s="69" t="s">
        <v>149</v>
      </c>
      <c r="C116" s="10"/>
      <c r="D116" s="118" t="s">
        <v>328</v>
      </c>
      <c r="E116" s="94">
        <v>1292</v>
      </c>
      <c r="F116" s="95" t="s">
        <v>161</v>
      </c>
      <c r="G116" s="96" t="s">
        <v>326</v>
      </c>
      <c r="H116" s="135"/>
      <c r="I116" s="136"/>
      <c r="J116" s="137">
        <f t="shared" si="25"/>
        <v>0</v>
      </c>
      <c r="K116" s="138"/>
      <c r="L116" s="138"/>
      <c r="M116" s="138"/>
    </row>
    <row r="117" spans="1:13" s="104" customFormat="1" ht="82.5" customHeight="1" x14ac:dyDescent="0.3">
      <c r="A117" s="68" t="str">
        <f t="shared" si="26"/>
        <v>п</v>
      </c>
      <c r="B117" s="69" t="s">
        <v>149</v>
      </c>
      <c r="C117" s="10"/>
      <c r="D117" s="118" t="s">
        <v>46</v>
      </c>
      <c r="E117" s="122" t="s">
        <v>47</v>
      </c>
      <c r="F117" s="95" t="s">
        <v>130</v>
      </c>
      <c r="G117" s="96" t="s">
        <v>138</v>
      </c>
      <c r="H117" s="97"/>
      <c r="I117" s="98"/>
      <c r="J117" s="99">
        <f t="shared" si="25"/>
        <v>150000</v>
      </c>
      <c r="K117" s="100">
        <v>150000</v>
      </c>
      <c r="L117" s="101"/>
      <c r="M117" s="101"/>
    </row>
    <row r="118" spans="1:13" s="12" customFormat="1" ht="64.5" customHeight="1" thickBot="1" x14ac:dyDescent="0.3">
      <c r="A118" s="9" t="str">
        <f t="shared" si="26"/>
        <v>п</v>
      </c>
      <c r="B118" s="69" t="s">
        <v>149</v>
      </c>
      <c r="C118" s="10"/>
      <c r="D118" s="118" t="s">
        <v>45</v>
      </c>
      <c r="E118" s="94" t="s">
        <v>32</v>
      </c>
      <c r="F118" s="95" t="s">
        <v>122</v>
      </c>
      <c r="G118" s="96" t="s">
        <v>362</v>
      </c>
      <c r="H118" s="97"/>
      <c r="I118" s="98"/>
      <c r="J118" s="99">
        <f t="shared" si="25"/>
        <v>116700</v>
      </c>
      <c r="K118" s="100">
        <v>116700</v>
      </c>
      <c r="L118" s="15"/>
      <c r="M118" s="15"/>
    </row>
    <row r="119" spans="1:13" s="104" customFormat="1" ht="19.5" hidden="1" thickBot="1" x14ac:dyDescent="0.35">
      <c r="A119" s="68" t="str">
        <f t="shared" si="26"/>
        <v/>
      </c>
      <c r="B119" s="69" t="s">
        <v>149</v>
      </c>
      <c r="C119" s="10"/>
      <c r="D119" s="340" t="s">
        <v>230</v>
      </c>
      <c r="E119" s="341">
        <v>9770</v>
      </c>
      <c r="F119" s="342" t="s">
        <v>126</v>
      </c>
      <c r="G119" s="343" t="s">
        <v>64</v>
      </c>
      <c r="H119" s="344"/>
      <c r="I119" s="345"/>
      <c r="J119" s="346">
        <f t="shared" si="25"/>
        <v>0</v>
      </c>
      <c r="K119" s="347"/>
      <c r="L119" s="347">
        <f>684000+348000-348000-684000</f>
        <v>0</v>
      </c>
      <c r="M119" s="347">
        <f>684000+348000-348000-684000</f>
        <v>0</v>
      </c>
    </row>
    <row r="120" spans="1:13" s="26" customFormat="1" ht="42.75" hidden="1" customHeight="1" x14ac:dyDescent="0.35">
      <c r="A120" s="9" t="str">
        <f t="shared" si="26"/>
        <v/>
      </c>
      <c r="B120" s="31" t="s">
        <v>149</v>
      </c>
      <c r="C120" s="31"/>
      <c r="D120" s="331"/>
      <c r="E120" s="123"/>
      <c r="F120" s="124"/>
      <c r="G120" s="145" t="s">
        <v>10</v>
      </c>
      <c r="H120" s="146"/>
      <c r="I120" s="41"/>
      <c r="J120" s="56">
        <f t="shared" si="25"/>
        <v>0</v>
      </c>
      <c r="K120" s="28"/>
      <c r="L120" s="28"/>
      <c r="M120" s="28"/>
    </row>
    <row r="121" spans="1:13" s="12" customFormat="1" ht="37.5" hidden="1" customHeight="1" x14ac:dyDescent="0.3">
      <c r="A121" s="9" t="str">
        <f t="shared" si="26"/>
        <v/>
      </c>
      <c r="B121" s="10" t="s">
        <v>149</v>
      </c>
      <c r="C121" s="10"/>
      <c r="D121" s="131"/>
      <c r="E121" s="106"/>
      <c r="F121" s="106"/>
      <c r="G121" s="107"/>
      <c r="H121" s="267"/>
      <c r="I121" s="42"/>
      <c r="J121" s="29">
        <f t="shared" si="25"/>
        <v>0</v>
      </c>
      <c r="K121" s="29"/>
      <c r="L121" s="29"/>
      <c r="M121" s="29"/>
    </row>
    <row r="122" spans="1:13" s="12" customFormat="1" ht="37.5" hidden="1" customHeight="1" x14ac:dyDescent="0.3">
      <c r="A122" s="9" t="str">
        <f t="shared" si="26"/>
        <v/>
      </c>
      <c r="B122" s="10" t="s">
        <v>149</v>
      </c>
      <c r="C122" s="10"/>
      <c r="D122" s="131"/>
      <c r="E122" s="106"/>
      <c r="F122" s="106"/>
      <c r="G122" s="107"/>
      <c r="H122" s="151"/>
      <c r="I122" s="43"/>
      <c r="J122" s="27">
        <f t="shared" si="25"/>
        <v>0</v>
      </c>
      <c r="K122" s="27">
        <f>+K123</f>
        <v>0</v>
      </c>
      <c r="L122" s="27">
        <f>+L123</f>
        <v>0</v>
      </c>
      <c r="M122" s="27">
        <f>+M123</f>
        <v>0</v>
      </c>
    </row>
    <row r="123" spans="1:13" s="12" customFormat="1" ht="19.5" hidden="1" thickBot="1" x14ac:dyDescent="0.3">
      <c r="A123" s="9" t="str">
        <f t="shared" si="26"/>
        <v/>
      </c>
      <c r="B123" s="10" t="s">
        <v>149</v>
      </c>
      <c r="C123" s="10"/>
      <c r="D123" s="118"/>
      <c r="E123" s="94"/>
      <c r="F123" s="95"/>
      <c r="G123" s="96"/>
      <c r="H123" s="140"/>
      <c r="I123" s="40"/>
      <c r="J123" s="18">
        <f t="shared" si="25"/>
        <v>0</v>
      </c>
      <c r="K123" s="18"/>
      <c r="L123" s="18">
        <f>600000-600000</f>
        <v>0</v>
      </c>
      <c r="M123" s="18">
        <f>600000-600000</f>
        <v>0</v>
      </c>
    </row>
    <row r="124" spans="1:13" s="26" customFormat="1" ht="19.5" hidden="1" thickBot="1" x14ac:dyDescent="0.35">
      <c r="A124" s="9" t="str">
        <f t="shared" si="26"/>
        <v/>
      </c>
      <c r="B124" s="31" t="s">
        <v>149</v>
      </c>
      <c r="C124" s="31"/>
      <c r="D124" s="332"/>
      <c r="E124" s="268"/>
      <c r="F124" s="276"/>
      <c r="G124" s="316"/>
      <c r="H124" s="268"/>
      <c r="I124" s="44"/>
      <c r="J124" s="30">
        <f t="shared" si="25"/>
        <v>0</v>
      </c>
      <c r="K124" s="30"/>
      <c r="L124" s="30">
        <f>600000-600000</f>
        <v>0</v>
      </c>
      <c r="M124" s="30">
        <f>600000-600000</f>
        <v>0</v>
      </c>
    </row>
    <row r="125" spans="1:13" s="104" customFormat="1" ht="100.5" hidden="1" customHeight="1" x14ac:dyDescent="0.35">
      <c r="A125" s="68" t="str">
        <f t="shared" si="26"/>
        <v/>
      </c>
      <c r="B125" s="69"/>
      <c r="C125" s="10"/>
      <c r="D125" s="79"/>
      <c r="E125" s="78"/>
      <c r="F125" s="79"/>
      <c r="G125" s="80"/>
      <c r="H125" s="80" t="s">
        <v>186</v>
      </c>
      <c r="I125" s="82" t="s">
        <v>103</v>
      </c>
      <c r="J125" s="84">
        <f>+K125+L125</f>
        <v>0</v>
      </c>
      <c r="K125" s="84">
        <f>+K126+K131+K140+K136</f>
        <v>0</v>
      </c>
      <c r="L125" s="84">
        <f>+L126+L131+L140+L136</f>
        <v>0</v>
      </c>
      <c r="M125" s="84">
        <f>+M126+M131+M140+M136</f>
        <v>0</v>
      </c>
    </row>
    <row r="126" spans="1:13" s="19" customFormat="1" ht="24" hidden="1" customHeight="1" x14ac:dyDescent="0.3">
      <c r="A126" s="9" t="str">
        <f t="shared" si="26"/>
        <v/>
      </c>
      <c r="B126" s="10" t="s">
        <v>147</v>
      </c>
      <c r="C126" s="33"/>
      <c r="D126" s="86" t="s">
        <v>15</v>
      </c>
      <c r="E126" s="86"/>
      <c r="F126" s="86"/>
      <c r="G126" s="88" t="s">
        <v>369</v>
      </c>
      <c r="H126" s="174"/>
      <c r="I126" s="45"/>
      <c r="J126" s="92">
        <f t="shared" si="25"/>
        <v>0</v>
      </c>
      <c r="K126" s="92">
        <f>K127</f>
        <v>0</v>
      </c>
      <c r="L126" s="92">
        <f>L127</f>
        <v>0</v>
      </c>
      <c r="M126" s="92">
        <f>M127</f>
        <v>0</v>
      </c>
    </row>
    <row r="127" spans="1:13" s="19" customFormat="1" ht="24" hidden="1" customHeight="1" x14ac:dyDescent="0.3">
      <c r="A127" s="9" t="str">
        <f t="shared" si="26"/>
        <v/>
      </c>
      <c r="B127" s="10" t="s">
        <v>147</v>
      </c>
      <c r="C127" s="33"/>
      <c r="D127" s="86" t="s">
        <v>14</v>
      </c>
      <c r="E127" s="86"/>
      <c r="F127" s="86"/>
      <c r="G127" s="88" t="s">
        <v>369</v>
      </c>
      <c r="H127" s="151"/>
      <c r="I127" s="43"/>
      <c r="J127" s="155">
        <f t="shared" si="25"/>
        <v>0</v>
      </c>
      <c r="K127" s="155">
        <f>+K129+K130+K128</f>
        <v>0</v>
      </c>
      <c r="L127" s="155">
        <f>+L129+L130+L128</f>
        <v>0</v>
      </c>
      <c r="M127" s="155">
        <f>+M129+M130+M128</f>
        <v>0</v>
      </c>
    </row>
    <row r="128" spans="1:13" s="19" customFormat="1" ht="94.5" hidden="1" thickBot="1" x14ac:dyDescent="0.3">
      <c r="A128" s="9" t="str">
        <f>IF(J128=0,"","п")</f>
        <v/>
      </c>
      <c r="B128" s="10" t="s">
        <v>147</v>
      </c>
      <c r="C128" s="33"/>
      <c r="D128" s="118" t="s">
        <v>82</v>
      </c>
      <c r="E128" s="140" t="s">
        <v>83</v>
      </c>
      <c r="F128" s="117" t="s">
        <v>77</v>
      </c>
      <c r="G128" s="314" t="s">
        <v>84</v>
      </c>
      <c r="H128" s="151"/>
      <c r="I128" s="43"/>
      <c r="J128" s="138">
        <f t="shared" si="25"/>
        <v>0</v>
      </c>
      <c r="K128" s="138"/>
      <c r="L128" s="138"/>
      <c r="M128" s="138"/>
    </row>
    <row r="129" spans="1:13" s="12" customFormat="1" ht="38.25" hidden="1" thickBot="1" x14ac:dyDescent="0.3">
      <c r="A129" s="9" t="str">
        <f t="shared" si="26"/>
        <v/>
      </c>
      <c r="B129" s="10" t="s">
        <v>147</v>
      </c>
      <c r="C129" s="33"/>
      <c r="D129" s="265" t="s">
        <v>30</v>
      </c>
      <c r="E129" s="140" t="s">
        <v>142</v>
      </c>
      <c r="F129" s="117" t="s">
        <v>131</v>
      </c>
      <c r="G129" s="314" t="s">
        <v>140</v>
      </c>
      <c r="H129" s="140"/>
      <c r="I129" s="40"/>
      <c r="J129" s="138">
        <f t="shared" si="25"/>
        <v>0</v>
      </c>
      <c r="K129" s="138"/>
      <c r="L129" s="138"/>
      <c r="M129" s="138"/>
    </row>
    <row r="130" spans="1:13" s="12" customFormat="1" ht="19.5" hidden="1" thickBot="1" x14ac:dyDescent="0.3">
      <c r="A130" s="9" t="str">
        <f t="shared" si="26"/>
        <v/>
      </c>
      <c r="B130" s="10" t="s">
        <v>147</v>
      </c>
      <c r="C130" s="33"/>
      <c r="D130" s="118"/>
      <c r="E130" s="94"/>
      <c r="F130" s="95"/>
      <c r="G130" s="96"/>
      <c r="H130" s="140"/>
      <c r="I130" s="40"/>
      <c r="J130" s="138"/>
      <c r="K130" s="138"/>
      <c r="L130" s="138"/>
      <c r="M130" s="138"/>
    </row>
    <row r="131" spans="1:13" s="105" customFormat="1" ht="20.25" hidden="1" thickBot="1" x14ac:dyDescent="0.35">
      <c r="A131" s="68" t="str">
        <f t="shared" si="26"/>
        <v/>
      </c>
      <c r="B131" s="69" t="s">
        <v>149</v>
      </c>
      <c r="C131" s="33"/>
      <c r="D131" s="333" t="s">
        <v>41</v>
      </c>
      <c r="E131" s="151"/>
      <c r="F131" s="152"/>
      <c r="G131" s="88" t="s">
        <v>372</v>
      </c>
      <c r="H131" s="153"/>
      <c r="I131" s="154"/>
      <c r="J131" s="155">
        <f t="shared" si="25"/>
        <v>0</v>
      </c>
      <c r="K131" s="155">
        <f>K132</f>
        <v>0</v>
      </c>
      <c r="L131" s="155">
        <f>L132</f>
        <v>0</v>
      </c>
      <c r="M131" s="155">
        <f>M132</f>
        <v>0</v>
      </c>
    </row>
    <row r="132" spans="1:13" s="105" customFormat="1" ht="20.25" hidden="1" thickBot="1" x14ac:dyDescent="0.35">
      <c r="A132" s="68" t="str">
        <f t="shared" si="26"/>
        <v/>
      </c>
      <c r="B132" s="69" t="s">
        <v>149</v>
      </c>
      <c r="C132" s="33"/>
      <c r="D132" s="333" t="s">
        <v>42</v>
      </c>
      <c r="E132" s="151"/>
      <c r="F132" s="152"/>
      <c r="G132" s="88" t="s">
        <v>372</v>
      </c>
      <c r="H132" s="153"/>
      <c r="I132" s="154"/>
      <c r="J132" s="155">
        <f t="shared" si="25"/>
        <v>0</v>
      </c>
      <c r="K132" s="155">
        <f>SUM(K133:K135)</f>
        <v>0</v>
      </c>
      <c r="L132" s="155">
        <f>SUM(L133:L135)</f>
        <v>0</v>
      </c>
      <c r="M132" s="155">
        <f>SUM(M133:M135)</f>
        <v>0</v>
      </c>
    </row>
    <row r="133" spans="1:13" s="12" customFormat="1" ht="29.25" hidden="1" customHeight="1" x14ac:dyDescent="0.3">
      <c r="A133" s="9" t="str">
        <f t="shared" si="26"/>
        <v/>
      </c>
      <c r="B133" s="10" t="s">
        <v>149</v>
      </c>
      <c r="C133" s="33"/>
      <c r="D133" s="265" t="s">
        <v>43</v>
      </c>
      <c r="E133" s="140">
        <v>1010</v>
      </c>
      <c r="F133" s="117" t="s">
        <v>127</v>
      </c>
      <c r="G133" s="314" t="s">
        <v>44</v>
      </c>
      <c r="H133" s="140"/>
      <c r="I133" s="40"/>
      <c r="J133" s="138">
        <f t="shared" si="25"/>
        <v>0</v>
      </c>
      <c r="K133" s="138">
        <f>50000-50000</f>
        <v>0</v>
      </c>
      <c r="L133" s="138"/>
      <c r="M133" s="138"/>
    </row>
    <row r="134" spans="1:13" s="104" customFormat="1" ht="38.25" hidden="1" thickBot="1" x14ac:dyDescent="0.35">
      <c r="A134" s="68" t="str">
        <f t="shared" si="26"/>
        <v/>
      </c>
      <c r="B134" s="69" t="s">
        <v>149</v>
      </c>
      <c r="C134" s="33"/>
      <c r="D134" s="118" t="s">
        <v>209</v>
      </c>
      <c r="E134" s="94">
        <v>1021</v>
      </c>
      <c r="F134" s="95" t="s">
        <v>128</v>
      </c>
      <c r="G134" s="121" t="s">
        <v>211</v>
      </c>
      <c r="H134" s="140"/>
      <c r="I134" s="136"/>
      <c r="J134" s="138">
        <f t="shared" si="25"/>
        <v>0</v>
      </c>
      <c r="K134" s="138">
        <f>425731-378731-47000</f>
        <v>0</v>
      </c>
      <c r="L134" s="138">
        <f>121039-121039</f>
        <v>0</v>
      </c>
      <c r="M134" s="138">
        <f>121039-121039</f>
        <v>0</v>
      </c>
    </row>
    <row r="135" spans="1:13" s="12" customFormat="1" ht="19.5" hidden="1" thickBot="1" x14ac:dyDescent="0.3">
      <c r="A135" s="9" t="str">
        <f t="shared" si="26"/>
        <v/>
      </c>
      <c r="B135" s="10" t="s">
        <v>149</v>
      </c>
      <c r="C135" s="33"/>
      <c r="D135" s="265"/>
      <c r="E135" s="116"/>
      <c r="F135" s="117"/>
      <c r="G135" s="314"/>
      <c r="H135" s="140"/>
      <c r="I135" s="40"/>
      <c r="J135" s="138">
        <f t="shared" si="25"/>
        <v>0</v>
      </c>
      <c r="K135" s="138"/>
      <c r="L135" s="138"/>
      <c r="M135" s="138"/>
    </row>
    <row r="136" spans="1:13" s="104" customFormat="1" ht="39.75" hidden="1" thickBot="1" x14ac:dyDescent="0.35">
      <c r="A136" s="68" t="str">
        <f t="shared" si="26"/>
        <v/>
      </c>
      <c r="B136" s="69" t="s">
        <v>6</v>
      </c>
      <c r="C136" s="33"/>
      <c r="D136" s="131" t="s">
        <v>135</v>
      </c>
      <c r="E136" s="106"/>
      <c r="F136" s="106"/>
      <c r="G136" s="107" t="s">
        <v>371</v>
      </c>
      <c r="H136" s="140"/>
      <c r="I136" s="133"/>
      <c r="J136" s="155">
        <f t="shared" si="25"/>
        <v>0</v>
      </c>
      <c r="K136" s="155">
        <f>+K137</f>
        <v>0</v>
      </c>
      <c r="L136" s="155">
        <f>+L137</f>
        <v>0</v>
      </c>
      <c r="M136" s="155">
        <f>+M137</f>
        <v>0</v>
      </c>
    </row>
    <row r="137" spans="1:13" s="104" customFormat="1" ht="39.75" hidden="1" thickBot="1" x14ac:dyDescent="0.35">
      <c r="A137" s="68" t="str">
        <f t="shared" si="26"/>
        <v/>
      </c>
      <c r="B137" s="69" t="s">
        <v>6</v>
      </c>
      <c r="C137" s="33"/>
      <c r="D137" s="131" t="s">
        <v>136</v>
      </c>
      <c r="E137" s="106"/>
      <c r="F137" s="106"/>
      <c r="G137" s="107" t="s">
        <v>371</v>
      </c>
      <c r="H137" s="140"/>
      <c r="I137" s="133"/>
      <c r="J137" s="155">
        <f>SUM(J138:J139)</f>
        <v>0</v>
      </c>
      <c r="K137" s="155">
        <f>SUM(K138:K139)</f>
        <v>0</v>
      </c>
      <c r="L137" s="155">
        <f>SUM(L138:L139)</f>
        <v>0</v>
      </c>
      <c r="M137" s="155">
        <f>SUM(M138:M139)</f>
        <v>0</v>
      </c>
    </row>
    <row r="138" spans="1:13" s="104" customFormat="1" ht="57" hidden="1" thickBot="1" x14ac:dyDescent="0.35">
      <c r="A138" s="68" t="str">
        <f t="shared" si="26"/>
        <v/>
      </c>
      <c r="B138" s="69" t="s">
        <v>6</v>
      </c>
      <c r="C138" s="9" t="str">
        <f>IF(L138=0,"","п")</f>
        <v/>
      </c>
      <c r="D138" s="118" t="s">
        <v>197</v>
      </c>
      <c r="E138" s="94">
        <v>4060</v>
      </c>
      <c r="F138" s="95" t="s">
        <v>199</v>
      </c>
      <c r="G138" s="96" t="s">
        <v>200</v>
      </c>
      <c r="H138" s="140"/>
      <c r="I138" s="136"/>
      <c r="J138" s="138">
        <f t="shared" si="25"/>
        <v>0</v>
      </c>
      <c r="K138" s="138"/>
      <c r="L138" s="138"/>
      <c r="M138" s="138"/>
    </row>
    <row r="139" spans="1:13" s="104" customFormat="1" ht="38.25" hidden="1" thickBot="1" x14ac:dyDescent="0.35">
      <c r="A139" s="68" t="str">
        <f t="shared" si="26"/>
        <v/>
      </c>
      <c r="B139" s="69" t="s">
        <v>6</v>
      </c>
      <c r="C139" s="33"/>
      <c r="D139" s="118">
        <v>1015031</v>
      </c>
      <c r="E139" s="94" t="s">
        <v>32</v>
      </c>
      <c r="F139" s="95" t="s">
        <v>122</v>
      </c>
      <c r="G139" s="96" t="s">
        <v>137</v>
      </c>
      <c r="H139" s="140"/>
      <c r="I139" s="136"/>
      <c r="J139" s="138">
        <f t="shared" si="25"/>
        <v>0</v>
      </c>
      <c r="K139" s="138">
        <f>250000-250000</f>
        <v>0</v>
      </c>
      <c r="L139" s="138">
        <f>50000-50000</f>
        <v>0</v>
      </c>
      <c r="M139" s="138">
        <f>50000-50000</f>
        <v>0</v>
      </c>
    </row>
    <row r="140" spans="1:13" s="104" customFormat="1" ht="59.25" hidden="1" thickBot="1" x14ac:dyDescent="0.35">
      <c r="A140" s="68" t="str">
        <f t="shared" si="26"/>
        <v/>
      </c>
      <c r="B140" s="69" t="s">
        <v>150</v>
      </c>
      <c r="C140" s="33"/>
      <c r="D140" s="131" t="s">
        <v>48</v>
      </c>
      <c r="E140" s="106"/>
      <c r="F140" s="106"/>
      <c r="G140" s="107" t="s">
        <v>373</v>
      </c>
      <c r="H140" s="140"/>
      <c r="I140" s="136"/>
      <c r="J140" s="155">
        <f t="shared" si="25"/>
        <v>0</v>
      </c>
      <c r="K140" s="155">
        <f>+K141</f>
        <v>0</v>
      </c>
      <c r="L140" s="155">
        <f>+L141</f>
        <v>0</v>
      </c>
      <c r="M140" s="155">
        <f>+M141</f>
        <v>0</v>
      </c>
    </row>
    <row r="141" spans="1:13" s="104" customFormat="1" ht="58.5" hidden="1" customHeight="1" x14ac:dyDescent="0.35">
      <c r="A141" s="68" t="str">
        <f t="shared" si="26"/>
        <v/>
      </c>
      <c r="B141" s="69" t="s">
        <v>150</v>
      </c>
      <c r="C141" s="33"/>
      <c r="D141" s="131" t="s">
        <v>49</v>
      </c>
      <c r="E141" s="106"/>
      <c r="F141" s="106"/>
      <c r="G141" s="107" t="s">
        <v>373</v>
      </c>
      <c r="H141" s="140"/>
      <c r="I141" s="136"/>
      <c r="J141" s="155">
        <f t="shared" si="25"/>
        <v>0</v>
      </c>
      <c r="K141" s="155">
        <f>SUM(K142:K143)</f>
        <v>0</v>
      </c>
      <c r="L141" s="155">
        <f t="shared" ref="L141:M141" si="29">SUM(L142:L143)</f>
        <v>0</v>
      </c>
      <c r="M141" s="155">
        <f t="shared" si="29"/>
        <v>0</v>
      </c>
    </row>
    <row r="142" spans="1:13" s="104" customFormat="1" ht="47.25" hidden="1" customHeight="1" x14ac:dyDescent="0.35">
      <c r="A142" s="68" t="str">
        <f t="shared" si="26"/>
        <v/>
      </c>
      <c r="B142" s="69" t="s">
        <v>150</v>
      </c>
      <c r="C142" s="33"/>
      <c r="D142" s="262" t="s">
        <v>170</v>
      </c>
      <c r="E142" s="181" t="s">
        <v>171</v>
      </c>
      <c r="F142" s="181" t="s">
        <v>105</v>
      </c>
      <c r="G142" s="280" t="s">
        <v>172</v>
      </c>
      <c r="H142" s="140"/>
      <c r="I142" s="136"/>
      <c r="J142" s="138">
        <f t="shared" si="25"/>
        <v>0</v>
      </c>
      <c r="K142" s="138">
        <f>49931-49931</f>
        <v>0</v>
      </c>
      <c r="L142" s="138"/>
      <c r="M142" s="138"/>
    </row>
    <row r="143" spans="1:13" s="104" customFormat="1" ht="34.5" hidden="1" customHeight="1" thickBot="1" x14ac:dyDescent="0.35">
      <c r="A143" s="68" t="str">
        <f t="shared" si="26"/>
        <v/>
      </c>
      <c r="B143" s="69" t="s">
        <v>150</v>
      </c>
      <c r="C143" s="33"/>
      <c r="D143" s="166">
        <v>1216030</v>
      </c>
      <c r="E143" s="157" t="s">
        <v>57</v>
      </c>
      <c r="F143" s="158" t="s">
        <v>121</v>
      </c>
      <c r="G143" s="159" t="s">
        <v>58</v>
      </c>
      <c r="H143" s="157"/>
      <c r="I143" s="160"/>
      <c r="J143" s="161">
        <f t="shared" si="25"/>
        <v>0</v>
      </c>
      <c r="K143" s="161"/>
      <c r="L143" s="161">
        <f>50000-50000</f>
        <v>0</v>
      </c>
      <c r="M143" s="161">
        <f>50000-50000</f>
        <v>0</v>
      </c>
    </row>
    <row r="144" spans="1:13" s="105" customFormat="1" ht="100.5" hidden="1" customHeight="1" x14ac:dyDescent="0.35">
      <c r="A144" s="68" t="str">
        <f>IF(J144=0,"","п")</f>
        <v/>
      </c>
      <c r="B144" s="69"/>
      <c r="C144" s="10"/>
      <c r="D144" s="142"/>
      <c r="E144" s="80"/>
      <c r="F144" s="142"/>
      <c r="G144" s="80"/>
      <c r="H144" s="81" t="s">
        <v>220</v>
      </c>
      <c r="I144" s="82" t="s">
        <v>309</v>
      </c>
      <c r="J144" s="83">
        <f>+K144+L144</f>
        <v>0</v>
      </c>
      <c r="K144" s="84">
        <f t="shared" ref="K144:M145" si="30">+K145</f>
        <v>0</v>
      </c>
      <c r="L144" s="84">
        <f t="shared" si="30"/>
        <v>0</v>
      </c>
      <c r="M144" s="84">
        <f t="shared" si="30"/>
        <v>0</v>
      </c>
    </row>
    <row r="145" spans="1:13" s="105" customFormat="1" ht="24.75" hidden="1" customHeight="1" x14ac:dyDescent="0.35">
      <c r="A145" s="68" t="str">
        <f>IF(J145=0,"","п")</f>
        <v/>
      </c>
      <c r="B145" s="69" t="s">
        <v>147</v>
      </c>
      <c r="C145" s="10"/>
      <c r="D145" s="86" t="s">
        <v>15</v>
      </c>
      <c r="E145" s="86"/>
      <c r="F145" s="86"/>
      <c r="G145" s="88" t="s">
        <v>369</v>
      </c>
      <c r="H145" s="108"/>
      <c r="I145" s="109"/>
      <c r="J145" s="110">
        <f>+K145+L145</f>
        <v>0</v>
      </c>
      <c r="K145" s="111">
        <f t="shared" si="30"/>
        <v>0</v>
      </c>
      <c r="L145" s="111">
        <f t="shared" si="30"/>
        <v>0</v>
      </c>
      <c r="M145" s="111">
        <f t="shared" si="30"/>
        <v>0</v>
      </c>
    </row>
    <row r="146" spans="1:13" s="105" customFormat="1" ht="24.75" hidden="1" customHeight="1" x14ac:dyDescent="0.35">
      <c r="A146" s="68" t="str">
        <f>IF(J146=0,"","п")</f>
        <v/>
      </c>
      <c r="B146" s="69" t="s">
        <v>147</v>
      </c>
      <c r="C146" s="10"/>
      <c r="D146" s="86" t="s">
        <v>14</v>
      </c>
      <c r="E146" s="86"/>
      <c r="F146" s="86"/>
      <c r="G146" s="88" t="s">
        <v>369</v>
      </c>
      <c r="H146" s="89"/>
      <c r="I146" s="90"/>
      <c r="J146" s="91">
        <f>+K146+L146</f>
        <v>0</v>
      </c>
      <c r="K146" s="92">
        <f>SUM(K147:K148)</f>
        <v>0</v>
      </c>
      <c r="L146" s="92">
        <f t="shared" ref="L146:M146" si="31">SUM(L147:L148)</f>
        <v>0</v>
      </c>
      <c r="M146" s="92">
        <f t="shared" si="31"/>
        <v>0</v>
      </c>
    </row>
    <row r="147" spans="1:13" s="104" customFormat="1" ht="45" hidden="1" customHeight="1" x14ac:dyDescent="0.35">
      <c r="A147" s="68" t="str">
        <f>IF(J147=0,"","п")</f>
        <v/>
      </c>
      <c r="B147" s="69" t="s">
        <v>147</v>
      </c>
      <c r="C147" s="33"/>
      <c r="D147" s="118" t="s">
        <v>39</v>
      </c>
      <c r="E147" s="95" t="s">
        <v>40</v>
      </c>
      <c r="F147" s="95" t="s">
        <v>130</v>
      </c>
      <c r="G147" s="96" t="s">
        <v>208</v>
      </c>
      <c r="H147" s="97"/>
      <c r="I147" s="98"/>
      <c r="J147" s="100">
        <f>+K147+L147</f>
        <v>0</v>
      </c>
      <c r="K147" s="100"/>
      <c r="L147" s="100"/>
      <c r="M147" s="100"/>
    </row>
    <row r="148" spans="1:13" s="104" customFormat="1" ht="45" hidden="1" customHeight="1" thickBot="1" x14ac:dyDescent="0.35">
      <c r="A148" s="68" t="str">
        <f>IF(J148=0,"","п")</f>
        <v/>
      </c>
      <c r="B148" s="69" t="s">
        <v>147</v>
      </c>
      <c r="C148" s="33"/>
      <c r="D148" s="394" t="s">
        <v>298</v>
      </c>
      <c r="E148" s="279" t="s">
        <v>291</v>
      </c>
      <c r="F148" s="279" t="s">
        <v>129</v>
      </c>
      <c r="G148" s="317" t="s">
        <v>292</v>
      </c>
      <c r="H148" s="395"/>
      <c r="I148" s="370"/>
      <c r="J148" s="180">
        <f>+K148+L148</f>
        <v>0</v>
      </c>
      <c r="K148" s="180"/>
      <c r="L148" s="180"/>
      <c r="M148" s="180"/>
    </row>
    <row r="149" spans="1:13" s="105" customFormat="1" ht="62.25" customHeight="1" x14ac:dyDescent="0.3">
      <c r="A149" s="68" t="str">
        <f t="shared" si="26"/>
        <v>п</v>
      </c>
      <c r="B149" s="69"/>
      <c r="C149" s="10"/>
      <c r="D149" s="142"/>
      <c r="E149" s="80"/>
      <c r="F149" s="142"/>
      <c r="G149" s="80"/>
      <c r="H149" s="81" t="s">
        <v>201</v>
      </c>
      <c r="I149" s="82" t="s">
        <v>284</v>
      </c>
      <c r="J149" s="83">
        <f t="shared" si="25"/>
        <v>19830</v>
      </c>
      <c r="K149" s="84">
        <f t="shared" ref="K149:M150" si="32">+K150</f>
        <v>19830</v>
      </c>
      <c r="L149" s="84">
        <f t="shared" si="32"/>
        <v>0</v>
      </c>
      <c r="M149" s="84">
        <f t="shared" si="32"/>
        <v>0</v>
      </c>
    </row>
    <row r="150" spans="1:13" s="105" customFormat="1" ht="39" x14ac:dyDescent="0.3">
      <c r="A150" s="68" t="str">
        <f t="shared" si="26"/>
        <v>п</v>
      </c>
      <c r="B150" s="69" t="s">
        <v>6</v>
      </c>
      <c r="C150" s="10"/>
      <c r="D150" s="131" t="s">
        <v>135</v>
      </c>
      <c r="E150" s="106"/>
      <c r="F150" s="106"/>
      <c r="G150" s="107" t="s">
        <v>371</v>
      </c>
      <c r="H150" s="108"/>
      <c r="I150" s="109"/>
      <c r="J150" s="110">
        <f t="shared" si="25"/>
        <v>19830</v>
      </c>
      <c r="K150" s="111">
        <f t="shared" si="32"/>
        <v>19830</v>
      </c>
      <c r="L150" s="111">
        <f t="shared" si="32"/>
        <v>0</v>
      </c>
      <c r="M150" s="111">
        <f t="shared" si="32"/>
        <v>0</v>
      </c>
    </row>
    <row r="151" spans="1:13" s="105" customFormat="1" ht="39" x14ac:dyDescent="0.3">
      <c r="A151" s="68" t="str">
        <f t="shared" si="26"/>
        <v>п</v>
      </c>
      <c r="B151" s="69" t="s">
        <v>6</v>
      </c>
      <c r="C151" s="10"/>
      <c r="D151" s="131" t="s">
        <v>136</v>
      </c>
      <c r="E151" s="106"/>
      <c r="F151" s="106"/>
      <c r="G151" s="107" t="s">
        <v>371</v>
      </c>
      <c r="H151" s="162"/>
      <c r="I151" s="163"/>
      <c r="J151" s="164">
        <f t="shared" si="25"/>
        <v>19830</v>
      </c>
      <c r="K151" s="165">
        <f>SUM(K152:K152)</f>
        <v>19830</v>
      </c>
      <c r="L151" s="165">
        <f>SUM(L152:L152)</f>
        <v>0</v>
      </c>
      <c r="M151" s="165">
        <f>SUM(M152:M152)</f>
        <v>0</v>
      </c>
    </row>
    <row r="152" spans="1:13" s="104" customFormat="1" ht="29.25" customHeight="1" thickBot="1" x14ac:dyDescent="0.35">
      <c r="A152" s="68" t="str">
        <f t="shared" si="26"/>
        <v>п</v>
      </c>
      <c r="B152" s="69" t="s">
        <v>6</v>
      </c>
      <c r="C152" s="10"/>
      <c r="D152" s="118" t="s">
        <v>164</v>
      </c>
      <c r="E152" s="94" t="s">
        <v>163</v>
      </c>
      <c r="F152" s="95" t="s">
        <v>13</v>
      </c>
      <c r="G152" s="96" t="s">
        <v>165</v>
      </c>
      <c r="H152" s="135"/>
      <c r="I152" s="136"/>
      <c r="J152" s="415">
        <f t="shared" si="25"/>
        <v>19830</v>
      </c>
      <c r="K152" s="138">
        <v>19830</v>
      </c>
      <c r="L152" s="139"/>
      <c r="M152" s="139"/>
    </row>
    <row r="153" spans="1:13" s="12" customFormat="1" ht="56.25" x14ac:dyDescent="0.25">
      <c r="A153" s="68" t="str">
        <f t="shared" si="26"/>
        <v>п</v>
      </c>
      <c r="B153" s="69"/>
      <c r="C153" s="10"/>
      <c r="D153" s="79"/>
      <c r="E153" s="78"/>
      <c r="F153" s="79"/>
      <c r="G153" s="80"/>
      <c r="H153" s="80" t="s">
        <v>256</v>
      </c>
      <c r="I153" s="82" t="s">
        <v>257</v>
      </c>
      <c r="J153" s="84">
        <f t="shared" si="25"/>
        <v>1149500</v>
      </c>
      <c r="K153" s="84">
        <f>+K154</f>
        <v>0</v>
      </c>
      <c r="L153" s="84">
        <f>+L154</f>
        <v>1149500</v>
      </c>
      <c r="M153" s="84">
        <f>+M154</f>
        <v>0</v>
      </c>
    </row>
    <row r="154" spans="1:13" s="19" customFormat="1" ht="58.5" x14ac:dyDescent="0.25">
      <c r="A154" s="68" t="str">
        <f t="shared" si="26"/>
        <v>п</v>
      </c>
      <c r="B154" s="69" t="s">
        <v>150</v>
      </c>
      <c r="C154" s="10"/>
      <c r="D154" s="131" t="s">
        <v>48</v>
      </c>
      <c r="E154" s="106"/>
      <c r="F154" s="106"/>
      <c r="G154" s="107" t="s">
        <v>373</v>
      </c>
      <c r="H154" s="269"/>
      <c r="I154" s="183"/>
      <c r="J154" s="185">
        <f t="shared" si="25"/>
        <v>1149500</v>
      </c>
      <c r="K154" s="185">
        <f>SUM(K156)</f>
        <v>0</v>
      </c>
      <c r="L154" s="185">
        <f>SUM(L156)</f>
        <v>1149500</v>
      </c>
      <c r="M154" s="185">
        <f>SUM(M156)</f>
        <v>0</v>
      </c>
    </row>
    <row r="155" spans="1:13" s="19" customFormat="1" ht="58.5" x14ac:dyDescent="0.25">
      <c r="A155" s="68" t="str">
        <f t="shared" si="26"/>
        <v>п</v>
      </c>
      <c r="B155" s="69" t="s">
        <v>150</v>
      </c>
      <c r="C155" s="10"/>
      <c r="D155" s="131" t="s">
        <v>49</v>
      </c>
      <c r="E155" s="106"/>
      <c r="F155" s="106"/>
      <c r="G155" s="107" t="s">
        <v>373</v>
      </c>
      <c r="H155" s="153"/>
      <c r="I155" s="363"/>
      <c r="J155" s="364">
        <f t="shared" si="25"/>
        <v>1149500</v>
      </c>
      <c r="K155" s="364">
        <f>+K156</f>
        <v>0</v>
      </c>
      <c r="L155" s="364">
        <f>+L156</f>
        <v>1149500</v>
      </c>
      <c r="M155" s="364">
        <f>+M156</f>
        <v>0</v>
      </c>
    </row>
    <row r="156" spans="1:13" s="104" customFormat="1" ht="44.25" customHeight="1" thickBot="1" x14ac:dyDescent="0.35">
      <c r="A156" s="68" t="str">
        <f t="shared" si="26"/>
        <v>п</v>
      </c>
      <c r="B156" s="69" t="s">
        <v>150</v>
      </c>
      <c r="C156" s="10"/>
      <c r="D156" s="95">
        <v>1218340</v>
      </c>
      <c r="E156" s="122">
        <v>8340</v>
      </c>
      <c r="F156" s="95" t="s">
        <v>169</v>
      </c>
      <c r="G156" s="96" t="s">
        <v>168</v>
      </c>
      <c r="H156" s="97"/>
      <c r="I156" s="98"/>
      <c r="J156" s="415">
        <f t="shared" si="25"/>
        <v>1149500</v>
      </c>
      <c r="K156" s="100"/>
      <c r="L156" s="100">
        <f>100000+1049500</f>
        <v>1149500</v>
      </c>
      <c r="M156" s="100"/>
    </row>
    <row r="157" spans="1:13" s="12" customFormat="1" ht="50.25" hidden="1" customHeight="1" x14ac:dyDescent="0.3">
      <c r="A157" s="9" t="str">
        <f t="shared" si="26"/>
        <v/>
      </c>
      <c r="B157" s="10"/>
      <c r="C157" s="10"/>
      <c r="D157" s="79"/>
      <c r="E157" s="78"/>
      <c r="F157" s="79"/>
      <c r="G157" s="80"/>
      <c r="H157" s="80" t="s">
        <v>332</v>
      </c>
      <c r="I157" s="82" t="s">
        <v>333</v>
      </c>
      <c r="J157" s="84">
        <f t="shared" si="25"/>
        <v>0</v>
      </c>
      <c r="K157" s="84">
        <f>+K158</f>
        <v>0</v>
      </c>
      <c r="L157" s="84">
        <f>+L158</f>
        <v>0</v>
      </c>
      <c r="M157" s="84">
        <f>+M158</f>
        <v>0</v>
      </c>
    </row>
    <row r="158" spans="1:13" s="19" customFormat="1" ht="59.25" hidden="1" thickBot="1" x14ac:dyDescent="0.3">
      <c r="A158" s="9" t="str">
        <f t="shared" si="26"/>
        <v/>
      </c>
      <c r="B158" s="10" t="s">
        <v>150</v>
      </c>
      <c r="C158" s="10"/>
      <c r="D158" s="131" t="s">
        <v>48</v>
      </c>
      <c r="E158" s="106"/>
      <c r="F158" s="106"/>
      <c r="G158" s="107" t="s">
        <v>373</v>
      </c>
      <c r="H158" s="269"/>
      <c r="I158" s="46"/>
      <c r="J158" s="185">
        <f t="shared" si="25"/>
        <v>0</v>
      </c>
      <c r="K158" s="111">
        <f>SUM(K160)</f>
        <v>0</v>
      </c>
      <c r="L158" s="365">
        <f>SUM(L160)</f>
        <v>0</v>
      </c>
      <c r="M158" s="365">
        <f>SUM(M160)</f>
        <v>0</v>
      </c>
    </row>
    <row r="159" spans="1:13" s="19" customFormat="1" ht="59.25" hidden="1" thickBot="1" x14ac:dyDescent="0.3">
      <c r="A159" s="9" t="str">
        <f t="shared" si="26"/>
        <v/>
      </c>
      <c r="B159" s="10" t="s">
        <v>150</v>
      </c>
      <c r="C159" s="10"/>
      <c r="D159" s="131" t="s">
        <v>49</v>
      </c>
      <c r="E159" s="106"/>
      <c r="F159" s="106"/>
      <c r="G159" s="107" t="s">
        <v>373</v>
      </c>
      <c r="H159" s="153"/>
      <c r="I159" s="47"/>
      <c r="J159" s="364">
        <f t="shared" ref="J159" si="33">+K159+L159</f>
        <v>0</v>
      </c>
      <c r="K159" s="165">
        <f>+K160</f>
        <v>0</v>
      </c>
      <c r="L159" s="393">
        <f>+L160</f>
        <v>0</v>
      </c>
      <c r="M159" s="393">
        <f>+M160</f>
        <v>0</v>
      </c>
    </row>
    <row r="160" spans="1:13" s="12" customFormat="1" ht="19.5" hidden="1" thickBot="1" x14ac:dyDescent="0.3">
      <c r="A160" s="9" t="str">
        <f t="shared" si="26"/>
        <v/>
      </c>
      <c r="B160" s="10" t="s">
        <v>150</v>
      </c>
      <c r="C160" s="33"/>
      <c r="D160" s="118" t="s">
        <v>288</v>
      </c>
      <c r="E160" s="94">
        <v>8230</v>
      </c>
      <c r="F160" s="181" t="s">
        <v>261</v>
      </c>
      <c r="G160" s="280" t="s">
        <v>289</v>
      </c>
      <c r="H160" s="122"/>
      <c r="I160" s="39"/>
      <c r="J160" s="161">
        <f>+K160+L160</f>
        <v>0</v>
      </c>
      <c r="K160" s="161"/>
      <c r="L160" s="161"/>
      <c r="M160" s="161"/>
    </row>
    <row r="161" spans="1:13" s="12" customFormat="1" ht="97.5" customHeight="1" x14ac:dyDescent="0.25">
      <c r="A161" s="68" t="str">
        <f t="shared" si="26"/>
        <v>п</v>
      </c>
      <c r="B161" s="69"/>
      <c r="C161" s="10"/>
      <c r="D161" s="79"/>
      <c r="E161" s="78"/>
      <c r="F161" s="79"/>
      <c r="G161" s="80"/>
      <c r="H161" s="414" t="s">
        <v>334</v>
      </c>
      <c r="I161" s="82" t="s">
        <v>335</v>
      </c>
      <c r="J161" s="364">
        <f t="shared" ref="J161:J164" si="34">+K161+L161</f>
        <v>2204442</v>
      </c>
      <c r="K161" s="84">
        <f>+K162</f>
        <v>2204442</v>
      </c>
      <c r="L161" s="11">
        <f>+L162</f>
        <v>0</v>
      </c>
      <c r="M161" s="11">
        <f>+M162</f>
        <v>0</v>
      </c>
    </row>
    <row r="162" spans="1:13" s="19" customFormat="1" ht="39" x14ac:dyDescent="0.25">
      <c r="A162" s="68" t="str">
        <f t="shared" si="26"/>
        <v>п</v>
      </c>
      <c r="B162" s="69" t="s">
        <v>147</v>
      </c>
      <c r="C162" s="33"/>
      <c r="D162" s="106" t="s">
        <v>16</v>
      </c>
      <c r="E162" s="106"/>
      <c r="F162" s="106"/>
      <c r="G162" s="107" t="s">
        <v>370</v>
      </c>
      <c r="H162" s="89"/>
      <c r="I162" s="45"/>
      <c r="J162" s="364">
        <f t="shared" si="34"/>
        <v>2204442</v>
      </c>
      <c r="K162" s="365">
        <f t="shared" ref="K162:M163" si="35">SUM(K163)</f>
        <v>2204442</v>
      </c>
      <c r="L162" s="21">
        <f t="shared" si="35"/>
        <v>0</v>
      </c>
      <c r="M162" s="21">
        <f t="shared" si="35"/>
        <v>0</v>
      </c>
    </row>
    <row r="163" spans="1:13" s="19" customFormat="1" ht="39" x14ac:dyDescent="0.25">
      <c r="A163" s="68" t="str">
        <f t="shared" si="26"/>
        <v>п</v>
      </c>
      <c r="B163" s="69" t="s">
        <v>147</v>
      </c>
      <c r="C163" s="33"/>
      <c r="D163" s="106" t="s">
        <v>17</v>
      </c>
      <c r="E163" s="106"/>
      <c r="F163" s="106"/>
      <c r="G163" s="107" t="s">
        <v>370</v>
      </c>
      <c r="H163" s="89"/>
      <c r="I163" s="45"/>
      <c r="J163" s="364">
        <f t="shared" si="34"/>
        <v>2204442</v>
      </c>
      <c r="K163" s="365">
        <f>SUM(K164)</f>
        <v>2204442</v>
      </c>
      <c r="L163" s="21">
        <f t="shared" si="35"/>
        <v>0</v>
      </c>
      <c r="M163" s="21">
        <f t="shared" si="35"/>
        <v>0</v>
      </c>
    </row>
    <row r="164" spans="1:13" s="12" customFormat="1" ht="61.5" customHeight="1" thickBot="1" x14ac:dyDescent="0.3">
      <c r="A164" s="68" t="str">
        <f t="shared" si="26"/>
        <v>п</v>
      </c>
      <c r="B164" s="69" t="s">
        <v>147</v>
      </c>
      <c r="C164" s="33"/>
      <c r="D164" s="118" t="s">
        <v>336</v>
      </c>
      <c r="E164" s="279" t="s">
        <v>291</v>
      </c>
      <c r="F164" s="279" t="s">
        <v>129</v>
      </c>
      <c r="G164" s="419" t="s">
        <v>363</v>
      </c>
      <c r="H164" s="97"/>
      <c r="I164" s="39"/>
      <c r="J164" s="161">
        <f t="shared" si="34"/>
        <v>2204442</v>
      </c>
      <c r="K164" s="138">
        <v>2204442</v>
      </c>
      <c r="L164" s="15"/>
      <c r="M164" s="15"/>
    </row>
    <row r="165" spans="1:13" s="104" customFormat="1" ht="60" hidden="1" customHeight="1" x14ac:dyDescent="0.35">
      <c r="A165" s="68" t="str">
        <f t="shared" si="26"/>
        <v/>
      </c>
      <c r="B165" s="69"/>
      <c r="C165" s="69"/>
      <c r="D165" s="79"/>
      <c r="E165" s="78"/>
      <c r="F165" s="79"/>
      <c r="G165" s="80"/>
      <c r="H165" s="80" t="s">
        <v>258</v>
      </c>
      <c r="I165" s="82" t="s">
        <v>283</v>
      </c>
      <c r="J165" s="84">
        <f>K165+L165</f>
        <v>0</v>
      </c>
      <c r="K165" s="84">
        <f>K166+K169</f>
        <v>0</v>
      </c>
      <c r="L165" s="84">
        <f t="shared" ref="L165:M165" si="36">L166+L169</f>
        <v>0</v>
      </c>
      <c r="M165" s="84">
        <f t="shared" si="36"/>
        <v>0</v>
      </c>
    </row>
    <row r="166" spans="1:13" s="104" customFormat="1" ht="23.25" hidden="1" customHeight="1" x14ac:dyDescent="0.35">
      <c r="A166" s="68" t="str">
        <f t="shared" si="26"/>
        <v/>
      </c>
      <c r="B166" s="69" t="s">
        <v>147</v>
      </c>
      <c r="C166" s="69"/>
      <c r="D166" s="86" t="s">
        <v>15</v>
      </c>
      <c r="E166" s="87"/>
      <c r="F166" s="87"/>
      <c r="G166" s="88" t="s">
        <v>369</v>
      </c>
      <c r="H166" s="182"/>
      <c r="I166" s="183"/>
      <c r="J166" s="185">
        <f t="shared" ref="J166:J174" si="37">K166+L166</f>
        <v>0</v>
      </c>
      <c r="K166" s="185">
        <f>K167</f>
        <v>0</v>
      </c>
      <c r="L166" s="185">
        <f t="shared" ref="L166:M167" si="38">L167</f>
        <v>0</v>
      </c>
      <c r="M166" s="185">
        <f t="shared" si="38"/>
        <v>0</v>
      </c>
    </row>
    <row r="167" spans="1:13" s="104" customFormat="1" ht="23.25" hidden="1" customHeight="1" x14ac:dyDescent="0.35">
      <c r="A167" s="68" t="str">
        <f t="shared" si="26"/>
        <v/>
      </c>
      <c r="B167" s="69" t="s">
        <v>147</v>
      </c>
      <c r="C167" s="69"/>
      <c r="D167" s="86" t="s">
        <v>14</v>
      </c>
      <c r="E167" s="87"/>
      <c r="F167" s="87"/>
      <c r="G167" s="88" t="s">
        <v>369</v>
      </c>
      <c r="H167" s="182"/>
      <c r="I167" s="183"/>
      <c r="J167" s="185">
        <f t="shared" si="37"/>
        <v>0</v>
      </c>
      <c r="K167" s="185">
        <f>K168</f>
        <v>0</v>
      </c>
      <c r="L167" s="185">
        <f t="shared" si="38"/>
        <v>0</v>
      </c>
      <c r="M167" s="185">
        <f t="shared" si="38"/>
        <v>0</v>
      </c>
    </row>
    <row r="168" spans="1:13" s="104" customFormat="1" ht="42.75" hidden="1" customHeight="1" x14ac:dyDescent="0.35">
      <c r="A168" s="68" t="str">
        <f t="shared" si="26"/>
        <v/>
      </c>
      <c r="B168" s="69" t="s">
        <v>147</v>
      </c>
      <c r="C168" s="69"/>
      <c r="D168" s="118" t="s">
        <v>155</v>
      </c>
      <c r="E168" s="94" t="s">
        <v>156</v>
      </c>
      <c r="F168" s="95" t="s">
        <v>129</v>
      </c>
      <c r="G168" s="96" t="s">
        <v>70</v>
      </c>
      <c r="H168" s="182"/>
      <c r="I168" s="183"/>
      <c r="J168" s="171">
        <f t="shared" si="37"/>
        <v>0</v>
      </c>
      <c r="K168" s="171"/>
      <c r="L168" s="171"/>
      <c r="M168" s="185"/>
    </row>
    <row r="169" spans="1:13" s="105" customFormat="1" ht="59.25" hidden="1" thickBot="1" x14ac:dyDescent="0.35">
      <c r="A169" s="68" t="str">
        <f t="shared" si="26"/>
        <v/>
      </c>
      <c r="B169" s="69" t="s">
        <v>150</v>
      </c>
      <c r="C169" s="69"/>
      <c r="D169" s="131" t="s">
        <v>48</v>
      </c>
      <c r="E169" s="106"/>
      <c r="F169" s="106"/>
      <c r="G169" s="107" t="s">
        <v>373</v>
      </c>
      <c r="H169" s="269"/>
      <c r="I169" s="183"/>
      <c r="J169" s="185">
        <f t="shared" si="37"/>
        <v>0</v>
      </c>
      <c r="K169" s="185">
        <f>K170</f>
        <v>0</v>
      </c>
      <c r="L169" s="365">
        <f t="shared" ref="L169:M169" si="39">L170</f>
        <v>0</v>
      </c>
      <c r="M169" s="365">
        <f t="shared" si="39"/>
        <v>0</v>
      </c>
    </row>
    <row r="170" spans="1:13" s="105" customFormat="1" ht="59.25" hidden="1" thickBot="1" x14ac:dyDescent="0.35">
      <c r="A170" s="68" t="str">
        <f t="shared" si="26"/>
        <v/>
      </c>
      <c r="B170" s="69" t="s">
        <v>150</v>
      </c>
      <c r="C170" s="69"/>
      <c r="D170" s="131" t="s">
        <v>49</v>
      </c>
      <c r="E170" s="106"/>
      <c r="F170" s="106"/>
      <c r="G170" s="107" t="s">
        <v>373</v>
      </c>
      <c r="H170" s="153"/>
      <c r="I170" s="363"/>
      <c r="J170" s="364">
        <f t="shared" si="37"/>
        <v>0</v>
      </c>
      <c r="K170" s="364">
        <f>K171+K172+K173+K174</f>
        <v>0</v>
      </c>
      <c r="L170" s="165">
        <f t="shared" ref="L170:M170" si="40">L171+L172+L173+L174</f>
        <v>0</v>
      </c>
      <c r="M170" s="165">
        <f t="shared" si="40"/>
        <v>0</v>
      </c>
    </row>
    <row r="171" spans="1:13" s="104" customFormat="1" ht="26.25" hidden="1" customHeight="1" x14ac:dyDescent="0.35">
      <c r="A171" s="68" t="str">
        <f t="shared" si="26"/>
        <v/>
      </c>
      <c r="B171" s="69" t="s">
        <v>150</v>
      </c>
      <c r="C171" s="69"/>
      <c r="D171" s="265">
        <v>1217321</v>
      </c>
      <c r="E171" s="140">
        <v>7321</v>
      </c>
      <c r="F171" s="117" t="s">
        <v>124</v>
      </c>
      <c r="G171" s="314" t="s">
        <v>154</v>
      </c>
      <c r="H171" s="122"/>
      <c r="I171" s="98"/>
      <c r="J171" s="100">
        <f t="shared" si="37"/>
        <v>0</v>
      </c>
      <c r="K171" s="100"/>
      <c r="L171" s="100"/>
      <c r="M171" s="100"/>
    </row>
    <row r="172" spans="1:13" s="104" customFormat="1" ht="41.25" hidden="1" customHeight="1" x14ac:dyDescent="0.35">
      <c r="A172" s="68" t="str">
        <f t="shared" si="26"/>
        <v/>
      </c>
      <c r="B172" s="69" t="s">
        <v>150</v>
      </c>
      <c r="C172" s="351"/>
      <c r="D172" s="118" t="s">
        <v>254</v>
      </c>
      <c r="E172" s="94">
        <v>6017</v>
      </c>
      <c r="F172" s="95" t="s">
        <v>121</v>
      </c>
      <c r="G172" s="96" t="s">
        <v>255</v>
      </c>
      <c r="H172" s="168"/>
      <c r="I172" s="169"/>
      <c r="J172" s="170">
        <f t="shared" si="37"/>
        <v>0</v>
      </c>
      <c r="K172" s="171">
        <f>1000000-1000000</f>
        <v>0</v>
      </c>
      <c r="L172" s="171"/>
      <c r="M172" s="171"/>
    </row>
    <row r="173" spans="1:13" s="104" customFormat="1" ht="38.25" hidden="1" thickBot="1" x14ac:dyDescent="0.35">
      <c r="A173" s="68" t="str">
        <f>IF(J173=0,"","п")</f>
        <v/>
      </c>
      <c r="B173" s="69" t="s">
        <v>150</v>
      </c>
      <c r="C173" s="69"/>
      <c r="D173" s="118">
        <v>1217310</v>
      </c>
      <c r="E173" s="122">
        <v>7310</v>
      </c>
      <c r="F173" s="95" t="s">
        <v>124</v>
      </c>
      <c r="G173" s="121" t="s">
        <v>69</v>
      </c>
      <c r="H173" s="122"/>
      <c r="I173" s="98"/>
      <c r="J173" s="100">
        <f t="shared" si="37"/>
        <v>0</v>
      </c>
      <c r="K173" s="100"/>
      <c r="L173" s="100"/>
      <c r="M173" s="100"/>
    </row>
    <row r="174" spans="1:13" s="104" customFormat="1" ht="19.5" hidden="1" thickBot="1" x14ac:dyDescent="0.35">
      <c r="A174" s="68" t="str">
        <f t="shared" si="26"/>
        <v/>
      </c>
      <c r="B174" s="69" t="s">
        <v>150</v>
      </c>
      <c r="C174" s="69"/>
      <c r="D174" s="181" t="s">
        <v>112</v>
      </c>
      <c r="E174" s="177" t="s">
        <v>113</v>
      </c>
      <c r="F174" s="181" t="s">
        <v>124</v>
      </c>
      <c r="G174" s="188" t="s">
        <v>114</v>
      </c>
      <c r="H174" s="168"/>
      <c r="I174" s="169"/>
      <c r="J174" s="170">
        <f t="shared" si="37"/>
        <v>0</v>
      </c>
      <c r="K174" s="171"/>
      <c r="L174" s="308"/>
      <c r="M174" s="308"/>
    </row>
    <row r="175" spans="1:13" s="12" customFormat="1" ht="77.25" hidden="1" customHeight="1" x14ac:dyDescent="0.3">
      <c r="A175" s="68" t="str">
        <f t="shared" si="26"/>
        <v/>
      </c>
      <c r="B175" s="69"/>
      <c r="C175" s="10"/>
      <c r="D175" s="79"/>
      <c r="E175" s="78"/>
      <c r="F175" s="79"/>
      <c r="G175" s="80"/>
      <c r="H175" s="81" t="s">
        <v>342</v>
      </c>
      <c r="I175" s="82" t="s">
        <v>338</v>
      </c>
      <c r="J175" s="83">
        <f t="shared" ref="J175:J178" si="41">+K175+L175</f>
        <v>0</v>
      </c>
      <c r="K175" s="84">
        <f>+K176</f>
        <v>0</v>
      </c>
      <c r="L175" s="84">
        <f>+L176</f>
        <v>0</v>
      </c>
      <c r="M175" s="84">
        <f>+M176</f>
        <v>0</v>
      </c>
    </row>
    <row r="176" spans="1:13" s="19" customFormat="1" ht="27" hidden="1" customHeight="1" x14ac:dyDescent="0.3">
      <c r="A176" s="68" t="str">
        <f t="shared" si="26"/>
        <v/>
      </c>
      <c r="B176" s="69" t="s">
        <v>147</v>
      </c>
      <c r="C176" s="33"/>
      <c r="D176" s="86" t="s">
        <v>15</v>
      </c>
      <c r="E176" s="86"/>
      <c r="F176" s="86"/>
      <c r="G176" s="88" t="s">
        <v>374</v>
      </c>
      <c r="H176" s="89"/>
      <c r="I176" s="45"/>
      <c r="J176" s="91">
        <f t="shared" si="41"/>
        <v>0</v>
      </c>
      <c r="K176" s="92">
        <f t="shared" ref="K176:M177" si="42">SUM(K177)</f>
        <v>0</v>
      </c>
      <c r="L176" s="21">
        <f t="shared" si="42"/>
        <v>0</v>
      </c>
      <c r="M176" s="21">
        <f t="shared" si="42"/>
        <v>0</v>
      </c>
    </row>
    <row r="177" spans="1:13" s="19" customFormat="1" ht="27" hidden="1" customHeight="1" x14ac:dyDescent="0.3">
      <c r="A177" s="68" t="str">
        <f t="shared" si="26"/>
        <v/>
      </c>
      <c r="B177" s="69" t="s">
        <v>147</v>
      </c>
      <c r="C177" s="33"/>
      <c r="D177" s="86" t="s">
        <v>14</v>
      </c>
      <c r="E177" s="86"/>
      <c r="F177" s="86"/>
      <c r="G177" s="88" t="s">
        <v>374</v>
      </c>
      <c r="H177" s="89"/>
      <c r="I177" s="45"/>
      <c r="J177" s="91">
        <f t="shared" si="41"/>
        <v>0</v>
      </c>
      <c r="K177" s="92">
        <f t="shared" si="42"/>
        <v>0</v>
      </c>
      <c r="L177" s="21">
        <f t="shared" si="42"/>
        <v>0</v>
      </c>
      <c r="M177" s="21">
        <f t="shared" si="42"/>
        <v>0</v>
      </c>
    </row>
    <row r="178" spans="1:13" s="26" customFormat="1" ht="116.25" hidden="1" customHeight="1" thickBot="1" x14ac:dyDescent="0.35">
      <c r="A178" s="68" t="str">
        <f t="shared" si="26"/>
        <v/>
      </c>
      <c r="B178" s="69" t="s">
        <v>147</v>
      </c>
      <c r="C178" s="34"/>
      <c r="D178" s="406" t="s">
        <v>346</v>
      </c>
      <c r="E178" s="407" t="s">
        <v>347</v>
      </c>
      <c r="F178" s="397" t="s">
        <v>174</v>
      </c>
      <c r="G178" s="280" t="s">
        <v>348</v>
      </c>
      <c r="H178" s="168"/>
      <c r="I178" s="49"/>
      <c r="J178" s="171">
        <f t="shared" si="41"/>
        <v>0</v>
      </c>
      <c r="K178" s="171">
        <f>17942453-17942453</f>
        <v>0</v>
      </c>
      <c r="L178" s="171"/>
      <c r="M178" s="171"/>
    </row>
    <row r="179" spans="1:13" s="104" customFormat="1" ht="60.75" customHeight="1" x14ac:dyDescent="0.3">
      <c r="A179" s="68" t="str">
        <f t="shared" si="26"/>
        <v>п</v>
      </c>
      <c r="B179" s="69"/>
      <c r="C179" s="10"/>
      <c r="D179" s="79"/>
      <c r="E179" s="78"/>
      <c r="F179" s="79"/>
      <c r="G179" s="80"/>
      <c r="H179" s="81" t="s">
        <v>205</v>
      </c>
      <c r="I179" s="82" t="s">
        <v>286</v>
      </c>
      <c r="J179" s="83">
        <f t="shared" ref="J179:J245" si="43">+K179+L179</f>
        <v>105755193</v>
      </c>
      <c r="K179" s="84">
        <f>+K180+K203+K206</f>
        <v>101356923</v>
      </c>
      <c r="L179" s="85">
        <f>+L180+L203+L206</f>
        <v>4398270</v>
      </c>
      <c r="M179" s="85">
        <f>+M180+M203+M206</f>
        <v>4398270</v>
      </c>
    </row>
    <row r="180" spans="1:13" s="105" customFormat="1" ht="58.5" x14ac:dyDescent="0.3">
      <c r="A180" s="68" t="str">
        <f t="shared" si="26"/>
        <v>п</v>
      </c>
      <c r="B180" s="69" t="s">
        <v>150</v>
      </c>
      <c r="C180" s="10"/>
      <c r="D180" s="131" t="s">
        <v>48</v>
      </c>
      <c r="E180" s="106"/>
      <c r="F180" s="106"/>
      <c r="G180" s="107" t="s">
        <v>373</v>
      </c>
      <c r="H180" s="108"/>
      <c r="I180" s="109"/>
      <c r="J180" s="110">
        <f t="shared" si="43"/>
        <v>105755193</v>
      </c>
      <c r="K180" s="111">
        <f>+K181</f>
        <v>101356923</v>
      </c>
      <c r="L180" s="111">
        <f>+L181</f>
        <v>4398270</v>
      </c>
      <c r="M180" s="111">
        <f>+M181</f>
        <v>4398270</v>
      </c>
    </row>
    <row r="181" spans="1:13" s="105" customFormat="1" ht="58.5" x14ac:dyDescent="0.3">
      <c r="A181" s="68" t="str">
        <f t="shared" si="26"/>
        <v>п</v>
      </c>
      <c r="B181" s="69" t="s">
        <v>150</v>
      </c>
      <c r="C181" s="10"/>
      <c r="D181" s="131" t="s">
        <v>49</v>
      </c>
      <c r="E181" s="106"/>
      <c r="F181" s="106"/>
      <c r="G181" s="107" t="s">
        <v>373</v>
      </c>
      <c r="H181" s="108"/>
      <c r="I181" s="109"/>
      <c r="J181" s="110">
        <f t="shared" si="43"/>
        <v>105755193</v>
      </c>
      <c r="K181" s="111">
        <f>SUM(K182:K202)-K183-K187-K198</f>
        <v>101356923</v>
      </c>
      <c r="L181" s="111">
        <f>SUM(L182:L202)-L183-L187-L198</f>
        <v>4398270</v>
      </c>
      <c r="M181" s="111">
        <f>SUM(M182:M202)-M183-M187-M198</f>
        <v>4398270</v>
      </c>
    </row>
    <row r="182" spans="1:13" s="104" customFormat="1" ht="41.25" customHeight="1" x14ac:dyDescent="0.3">
      <c r="A182" s="68" t="str">
        <f t="shared" si="26"/>
        <v>п</v>
      </c>
      <c r="B182" s="69" t="s">
        <v>150</v>
      </c>
      <c r="C182" s="32"/>
      <c r="D182" s="118" t="s">
        <v>107</v>
      </c>
      <c r="E182" s="94" t="s">
        <v>156</v>
      </c>
      <c r="F182" s="95" t="s">
        <v>129</v>
      </c>
      <c r="G182" s="96" t="s">
        <v>70</v>
      </c>
      <c r="H182" s="168"/>
      <c r="I182" s="169"/>
      <c r="J182" s="170">
        <f t="shared" si="43"/>
        <v>15000</v>
      </c>
      <c r="K182" s="171">
        <v>15000</v>
      </c>
      <c r="L182" s="171"/>
      <c r="M182" s="171"/>
    </row>
    <row r="183" spans="1:13" s="141" customFormat="1" ht="37.5" hidden="1" x14ac:dyDescent="0.3">
      <c r="A183" s="68" t="str">
        <f t="shared" si="26"/>
        <v/>
      </c>
      <c r="B183" s="69" t="s">
        <v>150</v>
      </c>
      <c r="C183" s="354"/>
      <c r="D183" s="328"/>
      <c r="E183" s="260"/>
      <c r="F183" s="190"/>
      <c r="G183" s="125" t="s">
        <v>10</v>
      </c>
      <c r="H183" s="266"/>
      <c r="I183" s="192"/>
      <c r="J183" s="193">
        <f t="shared" si="43"/>
        <v>0</v>
      </c>
      <c r="K183" s="194"/>
      <c r="L183" s="259"/>
      <c r="M183" s="171"/>
    </row>
    <row r="184" spans="1:13" s="104" customFormat="1" ht="37.5" x14ac:dyDescent="0.3">
      <c r="A184" s="68" t="str">
        <f t="shared" si="26"/>
        <v>п</v>
      </c>
      <c r="B184" s="69" t="s">
        <v>150</v>
      </c>
      <c r="C184" s="366"/>
      <c r="D184" s="262" t="s">
        <v>170</v>
      </c>
      <c r="E184" s="181" t="s">
        <v>171</v>
      </c>
      <c r="F184" s="181" t="s">
        <v>105</v>
      </c>
      <c r="G184" s="280" t="s">
        <v>172</v>
      </c>
      <c r="H184" s="168"/>
      <c r="I184" s="169"/>
      <c r="J184" s="170">
        <f t="shared" si="43"/>
        <v>1633500</v>
      </c>
      <c r="K184" s="171">
        <v>1633500</v>
      </c>
      <c r="L184" s="171"/>
      <c r="M184" s="171"/>
    </row>
    <row r="185" spans="1:13" s="104" customFormat="1" ht="37.5" hidden="1" x14ac:dyDescent="0.3">
      <c r="A185" s="68" t="str">
        <f t="shared" si="26"/>
        <v/>
      </c>
      <c r="B185" s="69" t="s">
        <v>150</v>
      </c>
      <c r="C185" s="366"/>
      <c r="D185" s="262" t="s">
        <v>109</v>
      </c>
      <c r="E185" s="181" t="s">
        <v>110</v>
      </c>
      <c r="F185" s="181" t="s">
        <v>121</v>
      </c>
      <c r="G185" s="280" t="s">
        <v>111</v>
      </c>
      <c r="H185" s="168"/>
      <c r="I185" s="169"/>
      <c r="J185" s="170">
        <f>+K185+L185</f>
        <v>0</v>
      </c>
      <c r="K185" s="171"/>
      <c r="L185" s="171"/>
      <c r="M185" s="171"/>
    </row>
    <row r="186" spans="1:13" s="104" customFormat="1" ht="41.25" customHeight="1" x14ac:dyDescent="0.3">
      <c r="A186" s="68" t="str">
        <f t="shared" si="26"/>
        <v>п</v>
      </c>
      <c r="B186" s="69" t="s">
        <v>150</v>
      </c>
      <c r="C186" s="351"/>
      <c r="D186" s="262" t="s">
        <v>383</v>
      </c>
      <c r="E186" s="181" t="s">
        <v>384</v>
      </c>
      <c r="F186" s="181" t="s">
        <v>121</v>
      </c>
      <c r="G186" s="280" t="s">
        <v>52</v>
      </c>
      <c r="H186" s="168"/>
      <c r="I186" s="169"/>
      <c r="J186" s="170">
        <f t="shared" si="43"/>
        <v>230000</v>
      </c>
      <c r="K186" s="171">
        <v>230000</v>
      </c>
      <c r="L186" s="171"/>
      <c r="M186" s="171"/>
    </row>
    <row r="187" spans="1:13" s="141" customFormat="1" ht="19.5" hidden="1" x14ac:dyDescent="0.3">
      <c r="A187" s="68" t="str">
        <f t="shared" si="26"/>
        <v/>
      </c>
      <c r="B187" s="69" t="s">
        <v>150</v>
      </c>
      <c r="C187" s="354"/>
      <c r="D187" s="328"/>
      <c r="E187" s="260"/>
      <c r="F187" s="190"/>
      <c r="G187" s="125"/>
      <c r="H187" s="189"/>
      <c r="I187" s="192"/>
      <c r="J187" s="194">
        <f t="shared" si="43"/>
        <v>0</v>
      </c>
      <c r="K187" s="194"/>
      <c r="L187" s="259"/>
      <c r="M187" s="259"/>
    </row>
    <row r="188" spans="1:13" s="104" customFormat="1" hidden="1" x14ac:dyDescent="0.3">
      <c r="A188" s="68" t="str">
        <f t="shared" si="26"/>
        <v/>
      </c>
      <c r="B188" s="69" t="s">
        <v>150</v>
      </c>
      <c r="C188" s="366"/>
      <c r="D188" s="262"/>
      <c r="E188" s="263"/>
      <c r="F188" s="181"/>
      <c r="G188" s="280"/>
      <c r="H188" s="177"/>
      <c r="I188" s="169"/>
      <c r="J188" s="171">
        <f t="shared" si="43"/>
        <v>0</v>
      </c>
      <c r="K188" s="171"/>
      <c r="L188" s="367">
        <f>+L189+L190</f>
        <v>0</v>
      </c>
      <c r="M188" s="367"/>
    </row>
    <row r="189" spans="1:13" s="104" customFormat="1" ht="21.75" hidden="1" customHeight="1" x14ac:dyDescent="0.3">
      <c r="A189" s="68" t="str">
        <f t="shared" si="26"/>
        <v/>
      </c>
      <c r="B189" s="69" t="s">
        <v>150</v>
      </c>
      <c r="C189" s="69"/>
      <c r="D189" s="95"/>
      <c r="E189" s="122"/>
      <c r="F189" s="95"/>
      <c r="G189" s="96"/>
      <c r="H189" s="122"/>
      <c r="I189" s="98"/>
      <c r="J189" s="100">
        <f t="shared" si="43"/>
        <v>0</v>
      </c>
      <c r="K189" s="100"/>
      <c r="L189" s="100"/>
      <c r="M189" s="100"/>
    </row>
    <row r="190" spans="1:13" s="104" customFormat="1" ht="35.25" customHeight="1" x14ac:dyDescent="0.3">
      <c r="A190" s="68" t="str">
        <f t="shared" si="26"/>
        <v>п</v>
      </c>
      <c r="B190" s="69" t="s">
        <v>150</v>
      </c>
      <c r="C190" s="69"/>
      <c r="D190" s="262" t="s">
        <v>50</v>
      </c>
      <c r="E190" s="181" t="s">
        <v>51</v>
      </c>
      <c r="F190" s="181" t="s">
        <v>121</v>
      </c>
      <c r="G190" s="280" t="s">
        <v>52</v>
      </c>
      <c r="H190" s="168"/>
      <c r="I190" s="169"/>
      <c r="J190" s="170">
        <f t="shared" ref="J190:J191" si="44">+K190+L190</f>
        <v>407490</v>
      </c>
      <c r="K190" s="171">
        <v>407490</v>
      </c>
      <c r="L190" s="171"/>
      <c r="M190" s="171"/>
    </row>
    <row r="191" spans="1:13" s="141" customFormat="1" ht="37.5" hidden="1" x14ac:dyDescent="0.3">
      <c r="A191" s="68" t="str">
        <f t="shared" si="26"/>
        <v/>
      </c>
      <c r="B191" s="69" t="s">
        <v>150</v>
      </c>
      <c r="C191" s="354"/>
      <c r="D191" s="328"/>
      <c r="E191" s="260"/>
      <c r="F191" s="190"/>
      <c r="G191" s="125" t="s">
        <v>10</v>
      </c>
      <c r="H191" s="189"/>
      <c r="I191" s="192"/>
      <c r="J191" s="194">
        <f t="shared" si="44"/>
        <v>0</v>
      </c>
      <c r="K191" s="194"/>
      <c r="L191" s="259"/>
      <c r="M191" s="259"/>
    </row>
    <row r="192" spans="1:13" s="104" customFormat="1" ht="35.25" hidden="1" customHeight="1" x14ac:dyDescent="0.3">
      <c r="A192" s="68" t="str">
        <f t="shared" si="26"/>
        <v/>
      </c>
      <c r="B192" s="69" t="s">
        <v>150</v>
      </c>
      <c r="C192" s="69"/>
      <c r="D192" s="95"/>
      <c r="E192" s="122"/>
      <c r="F192" s="95"/>
      <c r="G192" s="96"/>
      <c r="H192" s="122"/>
      <c r="I192" s="98"/>
      <c r="J192" s="100">
        <f t="shared" si="43"/>
        <v>0</v>
      </c>
      <c r="K192" s="100">
        <f>+K193+K194</f>
        <v>0</v>
      </c>
      <c r="L192" s="113">
        <f>+L193+L194</f>
        <v>0</v>
      </c>
      <c r="M192" s="113"/>
    </row>
    <row r="193" spans="1:13" s="104" customFormat="1" ht="18.75" hidden="1" customHeight="1" x14ac:dyDescent="0.3">
      <c r="A193" s="68" t="str">
        <f t="shared" si="26"/>
        <v/>
      </c>
      <c r="B193" s="69" t="s">
        <v>150</v>
      </c>
      <c r="C193" s="69"/>
      <c r="D193" s="95"/>
      <c r="E193" s="122"/>
      <c r="F193" s="95"/>
      <c r="G193" s="96"/>
      <c r="H193" s="122"/>
      <c r="I193" s="98"/>
      <c r="J193" s="100">
        <f t="shared" si="43"/>
        <v>0</v>
      </c>
      <c r="K193" s="100"/>
      <c r="L193" s="100"/>
      <c r="M193" s="100"/>
    </row>
    <row r="194" spans="1:13" s="104" customFormat="1" ht="36" hidden="1" customHeight="1" x14ac:dyDescent="0.3">
      <c r="A194" s="68" t="str">
        <f t="shared" si="26"/>
        <v/>
      </c>
      <c r="B194" s="69" t="s">
        <v>150</v>
      </c>
      <c r="C194" s="69"/>
      <c r="D194" s="95"/>
      <c r="E194" s="122"/>
      <c r="F194" s="95"/>
      <c r="G194" s="96"/>
      <c r="H194" s="122"/>
      <c r="I194" s="98"/>
      <c r="J194" s="100">
        <f t="shared" si="43"/>
        <v>0</v>
      </c>
      <c r="K194" s="100"/>
      <c r="L194" s="100"/>
      <c r="M194" s="100"/>
    </row>
    <row r="195" spans="1:13" s="104" customFormat="1" ht="21.95" hidden="1" customHeight="1" x14ac:dyDescent="0.3">
      <c r="A195" s="68" t="str">
        <f t="shared" si="26"/>
        <v/>
      </c>
      <c r="B195" s="69" t="s">
        <v>150</v>
      </c>
      <c r="C195" s="69"/>
      <c r="D195" s="95"/>
      <c r="E195" s="122"/>
      <c r="F195" s="95"/>
      <c r="G195" s="96"/>
      <c r="H195" s="122"/>
      <c r="I195" s="98"/>
      <c r="J195" s="100">
        <f t="shared" si="43"/>
        <v>0</v>
      </c>
      <c r="K195" s="100"/>
      <c r="L195" s="100"/>
      <c r="M195" s="100"/>
    </row>
    <row r="196" spans="1:13" s="104" customFormat="1" ht="75" hidden="1" x14ac:dyDescent="0.3">
      <c r="A196" s="68" t="str">
        <f t="shared" si="26"/>
        <v/>
      </c>
      <c r="B196" s="69" t="s">
        <v>150</v>
      </c>
      <c r="C196" s="69"/>
      <c r="D196" s="95" t="s">
        <v>53</v>
      </c>
      <c r="E196" s="320" t="s">
        <v>54</v>
      </c>
      <c r="F196" s="277" t="s">
        <v>121</v>
      </c>
      <c r="G196" s="96" t="s">
        <v>55</v>
      </c>
      <c r="H196" s="97"/>
      <c r="I196" s="98"/>
      <c r="J196" s="99">
        <f t="shared" si="43"/>
        <v>0</v>
      </c>
      <c r="K196" s="100"/>
      <c r="L196" s="100"/>
      <c r="M196" s="100"/>
    </row>
    <row r="197" spans="1:13" s="104" customFormat="1" ht="27.75" customHeight="1" thickBot="1" x14ac:dyDescent="0.35">
      <c r="A197" s="68" t="str">
        <f t="shared" si="26"/>
        <v>п</v>
      </c>
      <c r="B197" s="69" t="s">
        <v>150</v>
      </c>
      <c r="C197" s="69"/>
      <c r="D197" s="95" t="s">
        <v>56</v>
      </c>
      <c r="E197" s="122" t="s">
        <v>57</v>
      </c>
      <c r="F197" s="95" t="s">
        <v>121</v>
      </c>
      <c r="G197" s="96" t="s">
        <v>58</v>
      </c>
      <c r="H197" s="97"/>
      <c r="I197" s="98"/>
      <c r="J197" s="99">
        <f>+K197+L197</f>
        <v>103469203</v>
      </c>
      <c r="K197" s="100">
        <f>106242000-16090701+8919634</f>
        <v>99070933</v>
      </c>
      <c r="L197" s="100">
        <v>4398270</v>
      </c>
      <c r="M197" s="100">
        <v>4398270</v>
      </c>
    </row>
    <row r="198" spans="1:13" s="141" customFormat="1" ht="39" hidden="1" customHeight="1" x14ac:dyDescent="0.35">
      <c r="A198" s="68" t="str">
        <f t="shared" si="26"/>
        <v/>
      </c>
      <c r="B198" s="69" t="s">
        <v>150</v>
      </c>
      <c r="C198" s="323"/>
      <c r="D198" s="124"/>
      <c r="E198" s="126"/>
      <c r="F198" s="124"/>
      <c r="G198" s="125" t="s">
        <v>10</v>
      </c>
      <c r="H198" s="187"/>
      <c r="I198" s="127"/>
      <c r="J198" s="128">
        <f t="shared" si="43"/>
        <v>0</v>
      </c>
      <c r="K198" s="129"/>
      <c r="L198" s="194"/>
      <c r="M198" s="194"/>
    </row>
    <row r="199" spans="1:13" s="104" customFormat="1" ht="39" hidden="1" customHeight="1" x14ac:dyDescent="0.35">
      <c r="A199" s="350" t="str">
        <f t="shared" si="26"/>
        <v/>
      </c>
      <c r="B199" s="351" t="s">
        <v>150</v>
      </c>
      <c r="C199" s="351"/>
      <c r="D199" s="95" t="s">
        <v>177</v>
      </c>
      <c r="E199" s="122" t="s">
        <v>178</v>
      </c>
      <c r="F199" s="95" t="s">
        <v>174</v>
      </c>
      <c r="G199" s="280" t="s">
        <v>179</v>
      </c>
      <c r="H199" s="97"/>
      <c r="I199" s="98"/>
      <c r="J199" s="99">
        <f>+K199+L199</f>
        <v>0</v>
      </c>
      <c r="K199" s="100"/>
      <c r="L199" s="171"/>
      <c r="M199" s="171"/>
    </row>
    <row r="200" spans="1:13" s="104" customFormat="1" ht="38.25" hidden="1" thickBot="1" x14ac:dyDescent="0.35">
      <c r="A200" s="68" t="str">
        <f t="shared" si="26"/>
        <v/>
      </c>
      <c r="B200" s="69" t="s">
        <v>150</v>
      </c>
      <c r="C200" s="69"/>
      <c r="D200" s="95" t="s">
        <v>67</v>
      </c>
      <c r="E200" s="122" t="s">
        <v>68</v>
      </c>
      <c r="F200" s="95" t="s">
        <v>124</v>
      </c>
      <c r="G200" s="96" t="s">
        <v>69</v>
      </c>
      <c r="H200" s="97"/>
      <c r="I200" s="98"/>
      <c r="J200" s="99">
        <f t="shared" si="43"/>
        <v>0</v>
      </c>
      <c r="K200" s="100"/>
      <c r="L200" s="171"/>
      <c r="M200" s="171"/>
    </row>
    <row r="201" spans="1:13" s="104" customFormat="1" ht="62.25" hidden="1" customHeight="1" x14ac:dyDescent="0.35">
      <c r="A201" s="68"/>
      <c r="B201" s="69" t="s">
        <v>150</v>
      </c>
      <c r="C201" s="69"/>
      <c r="D201" s="95" t="s">
        <v>166</v>
      </c>
      <c r="E201" s="122">
        <v>7461</v>
      </c>
      <c r="F201" s="95" t="s">
        <v>125</v>
      </c>
      <c r="G201" s="96" t="s">
        <v>167</v>
      </c>
      <c r="H201" s="122"/>
      <c r="I201" s="98"/>
      <c r="J201" s="100">
        <f t="shared" si="43"/>
        <v>0</v>
      </c>
      <c r="K201" s="100"/>
      <c r="L201" s="100">
        <f>50000-50000</f>
        <v>0</v>
      </c>
      <c r="M201" s="100"/>
    </row>
    <row r="202" spans="1:13" s="104" customFormat="1" ht="38.25" hidden="1" thickBot="1" x14ac:dyDescent="0.35">
      <c r="A202" s="68" t="str">
        <f t="shared" si="26"/>
        <v/>
      </c>
      <c r="B202" s="69" t="s">
        <v>150</v>
      </c>
      <c r="C202" s="69"/>
      <c r="D202" s="95">
        <v>1218340</v>
      </c>
      <c r="E202" s="122">
        <v>8340</v>
      </c>
      <c r="F202" s="95" t="s">
        <v>169</v>
      </c>
      <c r="G202" s="96" t="s">
        <v>168</v>
      </c>
      <c r="H202" s="97"/>
      <c r="I202" s="98"/>
      <c r="J202" s="99">
        <f t="shared" si="43"/>
        <v>0</v>
      </c>
      <c r="K202" s="100"/>
      <c r="L202" s="100"/>
      <c r="M202" s="100"/>
    </row>
    <row r="203" spans="1:13" s="104" customFormat="1" ht="26.25" hidden="1" customHeight="1" x14ac:dyDescent="0.35">
      <c r="A203" s="68" t="str">
        <f t="shared" si="26"/>
        <v/>
      </c>
      <c r="B203" s="69" t="s">
        <v>147</v>
      </c>
      <c r="C203" s="69"/>
      <c r="D203" s="131" t="s">
        <v>15</v>
      </c>
      <c r="E203" s="131"/>
      <c r="F203" s="131"/>
      <c r="G203" s="88" t="s">
        <v>369</v>
      </c>
      <c r="H203" s="168"/>
      <c r="I203" s="169"/>
      <c r="J203" s="110">
        <f t="shared" si="43"/>
        <v>0</v>
      </c>
      <c r="K203" s="111">
        <f>SUM(K205)</f>
        <v>0</v>
      </c>
      <c r="L203" s="112">
        <f>SUM(L205)</f>
        <v>0</v>
      </c>
      <c r="M203" s="112"/>
    </row>
    <row r="204" spans="1:13" s="104" customFormat="1" ht="26.25" hidden="1" customHeight="1" x14ac:dyDescent="0.35">
      <c r="A204" s="68" t="str">
        <f t="shared" ref="A204:A274" si="45">IF(J204=0,"","п")</f>
        <v/>
      </c>
      <c r="B204" s="69" t="s">
        <v>147</v>
      </c>
      <c r="C204" s="69"/>
      <c r="D204" s="86" t="s">
        <v>14</v>
      </c>
      <c r="E204" s="86"/>
      <c r="F204" s="86"/>
      <c r="G204" s="88" t="s">
        <v>369</v>
      </c>
      <c r="H204" s="270"/>
      <c r="I204" s="368"/>
      <c r="J204" s="164">
        <f t="shared" si="43"/>
        <v>0</v>
      </c>
      <c r="K204" s="165">
        <f>+K205</f>
        <v>0</v>
      </c>
      <c r="L204" s="172">
        <f>+L205</f>
        <v>0</v>
      </c>
      <c r="M204" s="172"/>
    </row>
    <row r="205" spans="1:13" s="104" customFormat="1" ht="45.75" hidden="1" customHeight="1" x14ac:dyDescent="0.35">
      <c r="A205" s="68" t="str">
        <f t="shared" si="45"/>
        <v/>
      </c>
      <c r="B205" s="69" t="s">
        <v>147</v>
      </c>
      <c r="C205" s="69"/>
      <c r="D205" s="118" t="s">
        <v>59</v>
      </c>
      <c r="E205" s="122" t="s">
        <v>60</v>
      </c>
      <c r="F205" s="95" t="s">
        <v>123</v>
      </c>
      <c r="G205" s="96" t="s">
        <v>61</v>
      </c>
      <c r="H205" s="97"/>
      <c r="I205" s="98"/>
      <c r="J205" s="99">
        <f t="shared" si="43"/>
        <v>0</v>
      </c>
      <c r="K205" s="100"/>
      <c r="L205" s="179"/>
      <c r="M205" s="179"/>
    </row>
    <row r="206" spans="1:13" s="104" customFormat="1" ht="39.75" hidden="1" thickBot="1" x14ac:dyDescent="0.35">
      <c r="A206" s="68" t="str">
        <f t="shared" si="45"/>
        <v/>
      </c>
      <c r="B206" s="69" t="s">
        <v>151</v>
      </c>
      <c r="C206" s="69"/>
      <c r="D206" s="106">
        <v>3700000</v>
      </c>
      <c r="E206" s="177"/>
      <c r="F206" s="181"/>
      <c r="G206" s="107" t="s">
        <v>377</v>
      </c>
      <c r="H206" s="177"/>
      <c r="I206" s="169"/>
      <c r="J206" s="171">
        <f t="shared" si="43"/>
        <v>0</v>
      </c>
      <c r="K206" s="111">
        <f>SUM(K208)</f>
        <v>0</v>
      </c>
      <c r="L206" s="112">
        <f>SUM(L208)</f>
        <v>0</v>
      </c>
      <c r="M206" s="112"/>
    </row>
    <row r="207" spans="1:13" s="104" customFormat="1" ht="39.75" hidden="1" thickBot="1" x14ac:dyDescent="0.35">
      <c r="A207" s="68" t="str">
        <f t="shared" si="45"/>
        <v/>
      </c>
      <c r="B207" s="69" t="s">
        <v>151</v>
      </c>
      <c r="C207" s="69"/>
      <c r="D207" s="152">
        <v>3710000</v>
      </c>
      <c r="E207" s="140"/>
      <c r="F207" s="117"/>
      <c r="G207" s="107" t="s">
        <v>377</v>
      </c>
      <c r="H207" s="140"/>
      <c r="I207" s="136"/>
      <c r="J207" s="138">
        <f t="shared" si="43"/>
        <v>0</v>
      </c>
      <c r="K207" s="155">
        <f>+K208</f>
        <v>0</v>
      </c>
      <c r="L207" s="369">
        <f>+L208</f>
        <v>0</v>
      </c>
      <c r="M207" s="369"/>
    </row>
    <row r="208" spans="1:13" s="104" customFormat="1" ht="277.5" hidden="1" customHeight="1" thickBot="1" x14ac:dyDescent="0.35">
      <c r="A208" s="68" t="str">
        <f t="shared" si="45"/>
        <v/>
      </c>
      <c r="B208" s="69" t="s">
        <v>151</v>
      </c>
      <c r="C208" s="69"/>
      <c r="D208" s="279">
        <v>3716072</v>
      </c>
      <c r="E208" s="264">
        <v>6072</v>
      </c>
      <c r="F208" s="278" t="s">
        <v>174</v>
      </c>
      <c r="G208" s="317" t="s">
        <v>173</v>
      </c>
      <c r="H208" s="264"/>
      <c r="I208" s="370"/>
      <c r="J208" s="180">
        <f t="shared" si="43"/>
        <v>0</v>
      </c>
      <c r="K208" s="180"/>
      <c r="L208" s="371"/>
      <c r="M208" s="371"/>
    </row>
    <row r="209" spans="1:13" s="12" customFormat="1" ht="64.5" hidden="1" customHeight="1" x14ac:dyDescent="0.3">
      <c r="A209" s="9" t="str">
        <f t="shared" si="45"/>
        <v/>
      </c>
      <c r="B209" s="69"/>
      <c r="C209" s="10"/>
      <c r="D209" s="79"/>
      <c r="E209" s="78"/>
      <c r="F209" s="79"/>
      <c r="G209" s="80"/>
      <c r="H209" s="81" t="s">
        <v>315</v>
      </c>
      <c r="I209" s="82" t="s">
        <v>316</v>
      </c>
      <c r="J209" s="83">
        <f t="shared" si="43"/>
        <v>0</v>
      </c>
      <c r="K209" s="84">
        <f t="shared" ref="K209:M210" si="46">+K210</f>
        <v>0</v>
      </c>
      <c r="L209" s="85">
        <f t="shared" si="46"/>
        <v>0</v>
      </c>
      <c r="M209" s="85">
        <f t="shared" si="46"/>
        <v>0</v>
      </c>
    </row>
    <row r="210" spans="1:13" s="19" customFormat="1" ht="39.75" hidden="1" thickBot="1" x14ac:dyDescent="0.3">
      <c r="A210" s="9" t="str">
        <f t="shared" si="45"/>
        <v/>
      </c>
      <c r="B210" s="69" t="s">
        <v>319</v>
      </c>
      <c r="C210" s="10"/>
      <c r="D210" s="131" t="s">
        <v>317</v>
      </c>
      <c r="E210" s="106"/>
      <c r="F210" s="106"/>
      <c r="G210" s="107" t="s">
        <v>376</v>
      </c>
      <c r="H210" s="108"/>
      <c r="I210" s="109"/>
      <c r="J210" s="110">
        <f t="shared" si="43"/>
        <v>0</v>
      </c>
      <c r="K210" s="111">
        <f t="shared" si="46"/>
        <v>0</v>
      </c>
      <c r="L210" s="111">
        <f t="shared" si="46"/>
        <v>0</v>
      </c>
      <c r="M210" s="111">
        <f t="shared" si="46"/>
        <v>0</v>
      </c>
    </row>
    <row r="211" spans="1:13" s="19" customFormat="1" ht="39.75" hidden="1" thickBot="1" x14ac:dyDescent="0.3">
      <c r="A211" s="9" t="str">
        <f t="shared" si="45"/>
        <v/>
      </c>
      <c r="B211" s="69" t="s">
        <v>319</v>
      </c>
      <c r="C211" s="10"/>
      <c r="D211" s="86" t="s">
        <v>318</v>
      </c>
      <c r="E211" s="87"/>
      <c r="F211" s="87"/>
      <c r="G211" s="107" t="s">
        <v>376</v>
      </c>
      <c r="H211" s="89"/>
      <c r="I211" s="90"/>
      <c r="J211" s="91">
        <f t="shared" si="43"/>
        <v>0</v>
      </c>
      <c r="K211" s="92">
        <f>SUM(K212:K213)</f>
        <v>0</v>
      </c>
      <c r="L211" s="92">
        <f>SUM(L212:L213)</f>
        <v>0</v>
      </c>
      <c r="M211" s="92">
        <f>SUM(M212:M213)</f>
        <v>0</v>
      </c>
    </row>
    <row r="212" spans="1:13" s="19" customFormat="1" ht="20.25" hidden="1" thickBot="1" x14ac:dyDescent="0.3">
      <c r="A212" s="9" t="str">
        <f t="shared" si="45"/>
        <v/>
      </c>
      <c r="B212" s="69" t="s">
        <v>319</v>
      </c>
      <c r="C212" s="10"/>
      <c r="D212" s="262" t="s">
        <v>320</v>
      </c>
      <c r="E212" s="181" t="s">
        <v>87</v>
      </c>
      <c r="F212" s="181" t="s">
        <v>88</v>
      </c>
      <c r="G212" s="280" t="s">
        <v>89</v>
      </c>
      <c r="H212" s="162"/>
      <c r="I212" s="163"/>
      <c r="J212" s="349">
        <f>+K212+L212</f>
        <v>0</v>
      </c>
      <c r="K212" s="274">
        <f>18600-18600</f>
        <v>0</v>
      </c>
      <c r="L212" s="274"/>
      <c r="M212" s="274"/>
    </row>
    <row r="213" spans="1:13" s="12" customFormat="1" ht="38.25" hidden="1" thickBot="1" x14ac:dyDescent="0.3">
      <c r="A213" s="9" t="str">
        <f>IF(J213=0,"","п")</f>
        <v/>
      </c>
      <c r="B213" s="69" t="s">
        <v>319</v>
      </c>
      <c r="C213" s="10"/>
      <c r="D213" s="95" t="s">
        <v>321</v>
      </c>
      <c r="E213" s="122">
        <v>7350</v>
      </c>
      <c r="F213" s="95" t="s">
        <v>124</v>
      </c>
      <c r="G213" s="96" t="s">
        <v>248</v>
      </c>
      <c r="H213" s="97"/>
      <c r="I213" s="98"/>
      <c r="J213" s="99">
        <f>+K213+L213</f>
        <v>0</v>
      </c>
      <c r="K213" s="100"/>
      <c r="L213" s="113"/>
      <c r="M213" s="113"/>
    </row>
    <row r="214" spans="1:13" s="12" customFormat="1" ht="77.25" customHeight="1" x14ac:dyDescent="0.25">
      <c r="A214" s="9" t="str">
        <f t="shared" si="45"/>
        <v>п</v>
      </c>
      <c r="B214" s="10"/>
      <c r="C214" s="10"/>
      <c r="D214" s="79"/>
      <c r="E214" s="78"/>
      <c r="F214" s="79"/>
      <c r="G214" s="318"/>
      <c r="H214" s="81" t="s">
        <v>345</v>
      </c>
      <c r="I214" s="82" t="s">
        <v>359</v>
      </c>
      <c r="J214" s="83">
        <f t="shared" si="43"/>
        <v>23720001</v>
      </c>
      <c r="K214" s="84">
        <f>K215</f>
        <v>23336001</v>
      </c>
      <c r="L214" s="84">
        <f>+L215</f>
        <v>384000</v>
      </c>
      <c r="M214" s="84">
        <f>+M215</f>
        <v>0</v>
      </c>
    </row>
    <row r="215" spans="1:13" s="19" customFormat="1" ht="23.25" customHeight="1" x14ac:dyDescent="0.25">
      <c r="A215" s="9" t="str">
        <f t="shared" si="45"/>
        <v>п</v>
      </c>
      <c r="B215" s="69" t="s">
        <v>147</v>
      </c>
      <c r="C215" s="10"/>
      <c r="D215" s="131" t="s">
        <v>15</v>
      </c>
      <c r="E215" s="106"/>
      <c r="F215" s="106"/>
      <c r="G215" s="88" t="s">
        <v>374</v>
      </c>
      <c r="H215" s="108"/>
      <c r="I215" s="109"/>
      <c r="J215" s="110">
        <f t="shared" si="43"/>
        <v>23720001</v>
      </c>
      <c r="K215" s="111">
        <f t="shared" ref="K215:M215" si="47">+K216</f>
        <v>23336001</v>
      </c>
      <c r="L215" s="111">
        <f t="shared" si="47"/>
        <v>384000</v>
      </c>
      <c r="M215" s="111">
        <f t="shared" si="47"/>
        <v>0</v>
      </c>
    </row>
    <row r="216" spans="1:13" s="19" customFormat="1" ht="23.25" customHeight="1" x14ac:dyDescent="0.25">
      <c r="A216" s="9" t="str">
        <f t="shared" si="45"/>
        <v>п</v>
      </c>
      <c r="B216" s="69" t="s">
        <v>147</v>
      </c>
      <c r="C216" s="10"/>
      <c r="D216" s="86" t="s">
        <v>14</v>
      </c>
      <c r="E216" s="87"/>
      <c r="F216" s="87"/>
      <c r="G216" s="88" t="s">
        <v>374</v>
      </c>
      <c r="H216" s="89"/>
      <c r="I216" s="90"/>
      <c r="J216" s="91">
        <f t="shared" si="43"/>
        <v>23720001</v>
      </c>
      <c r="K216" s="92">
        <f>SUM(K217)</f>
        <v>23336001</v>
      </c>
      <c r="L216" s="92">
        <f t="shared" ref="L216:M216" si="48">SUM(L217)</f>
        <v>384000</v>
      </c>
      <c r="M216" s="92">
        <f t="shared" si="48"/>
        <v>0</v>
      </c>
    </row>
    <row r="217" spans="1:13" s="12" customFormat="1" ht="74.25" customHeight="1" thickBot="1" x14ac:dyDescent="0.3">
      <c r="A217" s="68" t="str">
        <f t="shared" si="45"/>
        <v>п</v>
      </c>
      <c r="B217" s="69" t="s">
        <v>147</v>
      </c>
      <c r="C217" s="69"/>
      <c r="D217" s="95" t="s">
        <v>298</v>
      </c>
      <c r="E217" s="122" t="s">
        <v>291</v>
      </c>
      <c r="F217" s="95" t="s">
        <v>129</v>
      </c>
      <c r="G217" s="121" t="s">
        <v>363</v>
      </c>
      <c r="H217" s="97"/>
      <c r="I217" s="98"/>
      <c r="J217" s="99">
        <f t="shared" si="43"/>
        <v>23720001</v>
      </c>
      <c r="K217" s="100">
        <v>23336001</v>
      </c>
      <c r="L217" s="100">
        <v>384000</v>
      </c>
      <c r="M217" s="100"/>
    </row>
    <row r="218" spans="1:13" s="104" customFormat="1" ht="99.75" customHeight="1" x14ac:dyDescent="0.3">
      <c r="A218" s="68" t="str">
        <f t="shared" si="45"/>
        <v>п</v>
      </c>
      <c r="B218" s="69"/>
      <c r="C218" s="10"/>
      <c r="D218" s="79"/>
      <c r="E218" s="78"/>
      <c r="F218" s="79"/>
      <c r="G218" s="80"/>
      <c r="H218" s="81" t="s">
        <v>340</v>
      </c>
      <c r="I218" s="82" t="s">
        <v>341</v>
      </c>
      <c r="J218" s="83">
        <f t="shared" si="43"/>
        <v>11400000</v>
      </c>
      <c r="K218" s="84">
        <f>+K219</f>
        <v>8500000</v>
      </c>
      <c r="L218" s="84">
        <f>+L219</f>
        <v>2900000</v>
      </c>
      <c r="M218" s="84">
        <f>+M219</f>
        <v>2900000</v>
      </c>
    </row>
    <row r="219" spans="1:13" s="105" customFormat="1" ht="24" customHeight="1" x14ac:dyDescent="0.3">
      <c r="A219" s="68" t="str">
        <f t="shared" si="45"/>
        <v>п</v>
      </c>
      <c r="B219" s="69" t="s">
        <v>147</v>
      </c>
      <c r="C219" s="10"/>
      <c r="D219" s="86" t="s">
        <v>15</v>
      </c>
      <c r="E219" s="86"/>
      <c r="F219" s="86"/>
      <c r="G219" s="88" t="s">
        <v>374</v>
      </c>
      <c r="H219" s="108"/>
      <c r="I219" s="109"/>
      <c r="J219" s="110">
        <f t="shared" si="43"/>
        <v>11400000</v>
      </c>
      <c r="K219" s="111">
        <f>K220</f>
        <v>8500000</v>
      </c>
      <c r="L219" s="111">
        <f t="shared" ref="L219:M219" si="49">L220</f>
        <v>2900000</v>
      </c>
      <c r="M219" s="111">
        <f t="shared" si="49"/>
        <v>2900000</v>
      </c>
    </row>
    <row r="220" spans="1:13" s="105" customFormat="1" ht="24" customHeight="1" x14ac:dyDescent="0.3">
      <c r="A220" s="68" t="str">
        <f t="shared" si="45"/>
        <v>п</v>
      </c>
      <c r="B220" s="69" t="s">
        <v>147</v>
      </c>
      <c r="C220" s="10"/>
      <c r="D220" s="86" t="s">
        <v>14</v>
      </c>
      <c r="E220" s="86"/>
      <c r="F220" s="86"/>
      <c r="G220" s="88" t="s">
        <v>374</v>
      </c>
      <c r="H220" s="162"/>
      <c r="I220" s="163"/>
      <c r="J220" s="164">
        <f>+K220+L220</f>
        <v>11400000</v>
      </c>
      <c r="K220" s="165">
        <f>K221+K224+K223+K222</f>
        <v>8500000</v>
      </c>
      <c r="L220" s="172">
        <f t="shared" ref="L220:M220" si="50">L221+L224+L223+L222</f>
        <v>2900000</v>
      </c>
      <c r="M220" s="172">
        <f t="shared" si="50"/>
        <v>2900000</v>
      </c>
    </row>
    <row r="221" spans="1:13" s="104" customFormat="1" ht="26.25" customHeight="1" x14ac:dyDescent="0.3">
      <c r="A221" s="68" t="str">
        <f t="shared" si="45"/>
        <v>п</v>
      </c>
      <c r="B221" s="69" t="s">
        <v>147</v>
      </c>
      <c r="C221" s="10"/>
      <c r="D221" s="95" t="s">
        <v>259</v>
      </c>
      <c r="E221" s="122" t="s">
        <v>260</v>
      </c>
      <c r="F221" s="95" t="s">
        <v>261</v>
      </c>
      <c r="G221" s="96" t="s">
        <v>262</v>
      </c>
      <c r="H221" s="97"/>
      <c r="I221" s="98"/>
      <c r="J221" s="99">
        <f t="shared" si="43"/>
        <v>1000000</v>
      </c>
      <c r="K221" s="100">
        <v>1000000</v>
      </c>
      <c r="L221" s="100"/>
      <c r="M221" s="100"/>
    </row>
    <row r="222" spans="1:13" s="141" customFormat="1" ht="45" hidden="1" customHeight="1" x14ac:dyDescent="0.3">
      <c r="A222" s="68" t="str">
        <f t="shared" si="45"/>
        <v/>
      </c>
      <c r="B222" s="69" t="s">
        <v>147</v>
      </c>
      <c r="C222" s="31"/>
      <c r="D222" s="95" t="s">
        <v>310</v>
      </c>
      <c r="E222" s="122">
        <v>8230</v>
      </c>
      <c r="F222" s="95" t="s">
        <v>261</v>
      </c>
      <c r="G222" s="96" t="s">
        <v>289</v>
      </c>
      <c r="H222" s="97"/>
      <c r="I222" s="98"/>
      <c r="J222" s="99">
        <f t="shared" si="43"/>
        <v>0</v>
      </c>
      <c r="K222" s="100"/>
      <c r="L222" s="100"/>
      <c r="M222" s="100"/>
    </row>
    <row r="223" spans="1:13" s="104" customFormat="1" ht="45" hidden="1" customHeight="1" x14ac:dyDescent="0.3">
      <c r="A223" s="68" t="str">
        <f t="shared" ref="A223" si="51">IF(J223=0,"","п")</f>
        <v/>
      </c>
      <c r="B223" s="69" t="s">
        <v>147</v>
      </c>
      <c r="C223" s="10"/>
      <c r="D223" s="181" t="s">
        <v>62</v>
      </c>
      <c r="E223" s="396">
        <v>9770</v>
      </c>
      <c r="F223" s="397" t="s">
        <v>126</v>
      </c>
      <c r="G223" s="398" t="s">
        <v>64</v>
      </c>
      <c r="H223" s="270"/>
      <c r="I223" s="368"/>
      <c r="J223" s="349">
        <f t="shared" si="43"/>
        <v>0</v>
      </c>
      <c r="K223" s="274"/>
      <c r="L223" s="274"/>
      <c r="M223" s="274"/>
    </row>
    <row r="224" spans="1:13" s="104" customFormat="1" ht="66.75" customHeight="1" thickBot="1" x14ac:dyDescent="0.35">
      <c r="A224" s="68" t="str">
        <f t="shared" si="45"/>
        <v>п</v>
      </c>
      <c r="B224" s="69" t="s">
        <v>147</v>
      </c>
      <c r="C224" s="10"/>
      <c r="D224" s="95" t="s">
        <v>79</v>
      </c>
      <c r="E224" s="122">
        <v>9800</v>
      </c>
      <c r="F224" s="95" t="s">
        <v>126</v>
      </c>
      <c r="G224" s="96" t="s">
        <v>81</v>
      </c>
      <c r="H224" s="97"/>
      <c r="I224" s="98"/>
      <c r="J224" s="99">
        <f t="shared" si="43"/>
        <v>10400000</v>
      </c>
      <c r="K224" s="100">
        <v>7500000</v>
      </c>
      <c r="L224" s="100">
        <v>2900000</v>
      </c>
      <c r="M224" s="100">
        <v>2900000</v>
      </c>
    </row>
    <row r="225" spans="1:13" s="19" customFormat="1" ht="59.25" customHeight="1" x14ac:dyDescent="0.25">
      <c r="A225" s="9" t="str">
        <f t="shared" si="45"/>
        <v>п</v>
      </c>
      <c r="B225" s="10"/>
      <c r="C225" s="10"/>
      <c r="D225" s="142"/>
      <c r="E225" s="80"/>
      <c r="F225" s="142"/>
      <c r="G225" s="80"/>
      <c r="H225" s="81" t="s">
        <v>297</v>
      </c>
      <c r="I225" s="392" t="s">
        <v>299</v>
      </c>
      <c r="J225" s="83">
        <f t="shared" si="43"/>
        <v>2606091</v>
      </c>
      <c r="K225" s="84">
        <f>K226</f>
        <v>2606091</v>
      </c>
      <c r="L225" s="11">
        <f>L226</f>
        <v>0</v>
      </c>
      <c r="M225" s="11">
        <f>M226</f>
        <v>0</v>
      </c>
    </row>
    <row r="226" spans="1:13" s="19" customFormat="1" ht="24" customHeight="1" x14ac:dyDescent="0.25">
      <c r="A226" s="9" t="str">
        <f t="shared" ref="A226:A228" si="52">IF(J226=0,"","п")</f>
        <v>п</v>
      </c>
      <c r="B226" s="69" t="s">
        <v>151</v>
      </c>
      <c r="C226" s="10"/>
      <c r="D226" s="106" t="s">
        <v>190</v>
      </c>
      <c r="E226" s="106"/>
      <c r="F226" s="106"/>
      <c r="G226" s="107" t="s">
        <v>375</v>
      </c>
      <c r="H226" s="89"/>
      <c r="I226" s="90"/>
      <c r="J226" s="91">
        <f>+K226+L226</f>
        <v>2606091</v>
      </c>
      <c r="K226" s="92">
        <f>K228</f>
        <v>2606091</v>
      </c>
      <c r="L226" s="92">
        <f>L228</f>
        <v>0</v>
      </c>
      <c r="M226" s="92">
        <f>M228</f>
        <v>0</v>
      </c>
    </row>
    <row r="227" spans="1:13" s="19" customFormat="1" ht="24" customHeight="1" x14ac:dyDescent="0.25">
      <c r="A227" s="9" t="str">
        <f t="shared" si="52"/>
        <v>п</v>
      </c>
      <c r="B227" s="69" t="s">
        <v>151</v>
      </c>
      <c r="C227" s="10"/>
      <c r="D227" s="176" t="s">
        <v>191</v>
      </c>
      <c r="E227" s="176"/>
      <c r="F227" s="176"/>
      <c r="G227" s="107" t="s">
        <v>375</v>
      </c>
      <c r="H227" s="132"/>
      <c r="I227" s="133"/>
      <c r="J227" s="134">
        <f t="shared" ref="J227:J228" si="53">+K227+L227</f>
        <v>2606091</v>
      </c>
      <c r="K227" s="155">
        <f>SUM(K228:K228)</f>
        <v>2606091</v>
      </c>
      <c r="L227" s="155">
        <f>SUM(L228:L228)</f>
        <v>0</v>
      </c>
      <c r="M227" s="155">
        <f>SUM(M228:M228)</f>
        <v>0</v>
      </c>
    </row>
    <row r="228" spans="1:13" s="19" customFormat="1" ht="27.75" customHeight="1" thickBot="1" x14ac:dyDescent="0.3">
      <c r="A228" s="9" t="str">
        <f t="shared" si="52"/>
        <v>п</v>
      </c>
      <c r="B228" s="69" t="s">
        <v>151</v>
      </c>
      <c r="C228" s="10"/>
      <c r="D228" s="117" t="s">
        <v>231</v>
      </c>
      <c r="E228" s="117" t="s">
        <v>232</v>
      </c>
      <c r="F228" s="117" t="s">
        <v>233</v>
      </c>
      <c r="G228" s="314" t="s">
        <v>234</v>
      </c>
      <c r="H228" s="135"/>
      <c r="I228" s="136"/>
      <c r="J228" s="137">
        <f t="shared" si="53"/>
        <v>2606091</v>
      </c>
      <c r="K228" s="138">
        <f>14526091-11920000</f>
        <v>2606091</v>
      </c>
      <c r="L228" s="138"/>
      <c r="M228" s="138"/>
    </row>
    <row r="229" spans="1:13" s="19" customFormat="1" ht="78.75" hidden="1" customHeight="1" x14ac:dyDescent="0.3">
      <c r="A229" s="9" t="str">
        <f t="shared" si="45"/>
        <v/>
      </c>
      <c r="B229" s="69"/>
      <c r="C229" s="10"/>
      <c r="D229" s="142"/>
      <c r="E229" s="80"/>
      <c r="F229" s="142"/>
      <c r="G229" s="80"/>
      <c r="H229" s="81"/>
      <c r="I229" s="82"/>
      <c r="J229" s="83">
        <f t="shared" si="43"/>
        <v>0</v>
      </c>
      <c r="K229" s="84">
        <f>K230</f>
        <v>0</v>
      </c>
      <c r="L229" s="84">
        <f>L230</f>
        <v>0</v>
      </c>
      <c r="M229" s="84">
        <f>M230</f>
        <v>0</v>
      </c>
    </row>
    <row r="230" spans="1:13" s="19" customFormat="1" ht="22.5" hidden="1" customHeight="1" x14ac:dyDescent="0.3">
      <c r="A230" s="9" t="str">
        <f t="shared" si="45"/>
        <v/>
      </c>
      <c r="B230" s="69" t="s">
        <v>151</v>
      </c>
      <c r="C230" s="10"/>
      <c r="D230" s="106" t="s">
        <v>190</v>
      </c>
      <c r="E230" s="106"/>
      <c r="F230" s="106"/>
      <c r="G230" s="107" t="s">
        <v>375</v>
      </c>
      <c r="H230" s="89"/>
      <c r="I230" s="90"/>
      <c r="J230" s="91">
        <f>+K230+L230</f>
        <v>0</v>
      </c>
      <c r="K230" s="92">
        <f>K232</f>
        <v>0</v>
      </c>
      <c r="L230" s="92">
        <f>L232</f>
        <v>0</v>
      </c>
      <c r="M230" s="92">
        <f>M232</f>
        <v>0</v>
      </c>
    </row>
    <row r="231" spans="1:13" s="19" customFormat="1" ht="22.5" hidden="1" customHeight="1" x14ac:dyDescent="0.3">
      <c r="A231" s="9" t="str">
        <f t="shared" si="45"/>
        <v/>
      </c>
      <c r="B231" s="69" t="s">
        <v>151</v>
      </c>
      <c r="C231" s="10"/>
      <c r="D231" s="176" t="s">
        <v>191</v>
      </c>
      <c r="E231" s="176"/>
      <c r="F231" s="176"/>
      <c r="G231" s="107" t="s">
        <v>375</v>
      </c>
      <c r="H231" s="132"/>
      <c r="I231" s="133"/>
      <c r="J231" s="134">
        <f t="shared" si="43"/>
        <v>0</v>
      </c>
      <c r="K231" s="155">
        <f>SUM(K232:K232)</f>
        <v>0</v>
      </c>
      <c r="L231" s="155">
        <f>SUM(L232:L232)</f>
        <v>0</v>
      </c>
      <c r="M231" s="155">
        <f>SUM(M232:M232)</f>
        <v>0</v>
      </c>
    </row>
    <row r="232" spans="1:13" s="19" customFormat="1" ht="27.75" hidden="1" customHeight="1" thickBot="1" x14ac:dyDescent="0.3">
      <c r="A232" s="9" t="str">
        <f t="shared" si="45"/>
        <v/>
      </c>
      <c r="B232" s="69" t="s">
        <v>151</v>
      </c>
      <c r="C232" s="10"/>
      <c r="D232" s="117" t="s">
        <v>231</v>
      </c>
      <c r="E232" s="117" t="s">
        <v>232</v>
      </c>
      <c r="F232" s="117" t="s">
        <v>233</v>
      </c>
      <c r="G232" s="314" t="s">
        <v>234</v>
      </c>
      <c r="H232" s="135"/>
      <c r="I232" s="136"/>
      <c r="J232" s="137">
        <f t="shared" si="43"/>
        <v>0</v>
      </c>
      <c r="K232" s="138"/>
      <c r="L232" s="138"/>
      <c r="M232" s="138"/>
    </row>
    <row r="233" spans="1:13" s="105" customFormat="1" ht="60" customHeight="1" x14ac:dyDescent="0.3">
      <c r="A233" s="68" t="str">
        <f t="shared" si="45"/>
        <v>п</v>
      </c>
      <c r="B233" s="69"/>
      <c r="C233" s="10"/>
      <c r="D233" s="142"/>
      <c r="E233" s="80"/>
      <c r="F233" s="142"/>
      <c r="G233" s="80"/>
      <c r="H233" s="80" t="s">
        <v>278</v>
      </c>
      <c r="I233" s="82" t="s">
        <v>279</v>
      </c>
      <c r="J233" s="84">
        <f t="shared" si="43"/>
        <v>333000</v>
      </c>
      <c r="K233" s="84">
        <f>K234</f>
        <v>333000</v>
      </c>
      <c r="L233" s="84">
        <f>L234</f>
        <v>0</v>
      </c>
      <c r="M233" s="84">
        <f>M234</f>
        <v>0</v>
      </c>
    </row>
    <row r="234" spans="1:13" s="105" customFormat="1" ht="58.5" x14ac:dyDescent="0.3">
      <c r="A234" s="68" t="str">
        <f t="shared" si="45"/>
        <v>п</v>
      </c>
      <c r="B234" s="69" t="s">
        <v>150</v>
      </c>
      <c r="C234" s="10"/>
      <c r="D234" s="106" t="s">
        <v>48</v>
      </c>
      <c r="E234" s="106"/>
      <c r="F234" s="106"/>
      <c r="G234" s="107" t="s">
        <v>373</v>
      </c>
      <c r="H234" s="174"/>
      <c r="I234" s="90"/>
      <c r="J234" s="92">
        <f t="shared" si="43"/>
        <v>333000</v>
      </c>
      <c r="K234" s="92">
        <f t="shared" ref="K234:M235" si="54">+K235</f>
        <v>333000</v>
      </c>
      <c r="L234" s="92">
        <f t="shared" si="54"/>
        <v>0</v>
      </c>
      <c r="M234" s="92">
        <f t="shared" si="54"/>
        <v>0</v>
      </c>
    </row>
    <row r="235" spans="1:13" s="105" customFormat="1" ht="58.5" x14ac:dyDescent="0.3">
      <c r="A235" s="68" t="str">
        <f t="shared" si="45"/>
        <v>п</v>
      </c>
      <c r="B235" s="69" t="s">
        <v>150</v>
      </c>
      <c r="C235" s="10"/>
      <c r="D235" s="87" t="s">
        <v>49</v>
      </c>
      <c r="E235" s="87"/>
      <c r="F235" s="176"/>
      <c r="G235" s="107" t="s">
        <v>373</v>
      </c>
      <c r="H235" s="151"/>
      <c r="I235" s="133"/>
      <c r="J235" s="155">
        <f t="shared" si="43"/>
        <v>333000</v>
      </c>
      <c r="K235" s="155">
        <f t="shared" si="54"/>
        <v>333000</v>
      </c>
      <c r="L235" s="175">
        <f t="shared" si="54"/>
        <v>0</v>
      </c>
      <c r="M235" s="175">
        <f t="shared" si="54"/>
        <v>0</v>
      </c>
    </row>
    <row r="236" spans="1:13" s="104" customFormat="1" ht="22.5" customHeight="1" thickBot="1" x14ac:dyDescent="0.35">
      <c r="A236" s="68" t="str">
        <f t="shared" si="45"/>
        <v>п</v>
      </c>
      <c r="B236" s="69" t="s">
        <v>150</v>
      </c>
      <c r="C236" s="33"/>
      <c r="D236" s="118" t="s">
        <v>56</v>
      </c>
      <c r="E236" s="94" t="s">
        <v>57</v>
      </c>
      <c r="F236" s="95" t="s">
        <v>121</v>
      </c>
      <c r="G236" s="96" t="s">
        <v>58</v>
      </c>
      <c r="H236" s="122"/>
      <c r="I236" s="98"/>
      <c r="J236" s="100">
        <f>+K236+L236</f>
        <v>333000</v>
      </c>
      <c r="K236" s="100">
        <v>333000</v>
      </c>
      <c r="L236" s="100"/>
      <c r="M236" s="100"/>
    </row>
    <row r="237" spans="1:13" s="105" customFormat="1" ht="76.5" customHeight="1" x14ac:dyDescent="0.3">
      <c r="A237" s="68" t="str">
        <f t="shared" si="45"/>
        <v>п</v>
      </c>
      <c r="B237" s="69"/>
      <c r="C237" s="10"/>
      <c r="D237" s="142"/>
      <c r="E237" s="80"/>
      <c r="F237" s="142"/>
      <c r="G237" s="80"/>
      <c r="H237" s="81" t="s">
        <v>307</v>
      </c>
      <c r="I237" s="82" t="s">
        <v>306</v>
      </c>
      <c r="J237" s="83">
        <f t="shared" si="43"/>
        <v>2813200</v>
      </c>
      <c r="K237" s="84">
        <f t="shared" ref="K237:M238" si="55">K238</f>
        <v>2813200</v>
      </c>
      <c r="L237" s="84">
        <f t="shared" si="55"/>
        <v>0</v>
      </c>
      <c r="M237" s="84">
        <f t="shared" si="55"/>
        <v>0</v>
      </c>
    </row>
    <row r="238" spans="1:13" s="105" customFormat="1" ht="63.75" customHeight="1" x14ac:dyDescent="0.3">
      <c r="A238" s="68" t="str">
        <f t="shared" si="45"/>
        <v>п</v>
      </c>
      <c r="B238" s="69" t="s">
        <v>150</v>
      </c>
      <c r="C238" s="10"/>
      <c r="D238" s="106" t="s">
        <v>48</v>
      </c>
      <c r="E238" s="106"/>
      <c r="F238" s="106"/>
      <c r="G238" s="107" t="s">
        <v>373</v>
      </c>
      <c r="H238" s="89"/>
      <c r="I238" s="90"/>
      <c r="J238" s="91">
        <f>+K238+L238</f>
        <v>2813200</v>
      </c>
      <c r="K238" s="92">
        <f t="shared" si="55"/>
        <v>2813200</v>
      </c>
      <c r="L238" s="92">
        <f t="shared" si="55"/>
        <v>0</v>
      </c>
      <c r="M238" s="92">
        <f t="shared" si="55"/>
        <v>0</v>
      </c>
    </row>
    <row r="239" spans="1:13" s="105" customFormat="1" ht="63.75" customHeight="1" x14ac:dyDescent="0.3">
      <c r="A239" s="68" t="str">
        <f t="shared" si="45"/>
        <v>п</v>
      </c>
      <c r="B239" s="69" t="s">
        <v>150</v>
      </c>
      <c r="C239" s="10"/>
      <c r="D239" s="87" t="s">
        <v>49</v>
      </c>
      <c r="E239" s="87"/>
      <c r="F239" s="176"/>
      <c r="G239" s="107" t="s">
        <v>373</v>
      </c>
      <c r="H239" s="132"/>
      <c r="I239" s="133"/>
      <c r="J239" s="134">
        <f>+K239+L239</f>
        <v>2813200</v>
      </c>
      <c r="K239" s="155">
        <f>SUM(K240:K241)</f>
        <v>2813200</v>
      </c>
      <c r="L239" s="155">
        <f>SUM(L240:L241)</f>
        <v>0</v>
      </c>
      <c r="M239" s="155">
        <f>SUM(M240:M241)</f>
        <v>0</v>
      </c>
    </row>
    <row r="240" spans="1:13" s="105" customFormat="1" ht="39.75" customHeight="1" x14ac:dyDescent="0.3">
      <c r="A240" s="68" t="str">
        <f t="shared" si="45"/>
        <v>п</v>
      </c>
      <c r="B240" s="69" t="s">
        <v>150</v>
      </c>
      <c r="C240" s="10"/>
      <c r="D240" s="118" t="s">
        <v>170</v>
      </c>
      <c r="E240" s="94" t="s">
        <v>171</v>
      </c>
      <c r="F240" s="95" t="s">
        <v>105</v>
      </c>
      <c r="G240" s="96" t="s">
        <v>172</v>
      </c>
      <c r="H240" s="89"/>
      <c r="I240" s="90"/>
      <c r="J240" s="99">
        <f>+K240+L240</f>
        <v>2188300</v>
      </c>
      <c r="K240" s="100">
        <f>1633500+500000+54800</f>
        <v>2188300</v>
      </c>
      <c r="L240" s="179">
        <f>2000000-2000000</f>
        <v>0</v>
      </c>
      <c r="M240" s="179">
        <f>2000000-2000000</f>
        <v>0</v>
      </c>
    </row>
    <row r="241" spans="1:13" s="105" customFormat="1" ht="39" customHeight="1" thickBot="1" x14ac:dyDescent="0.35">
      <c r="A241" s="68" t="str">
        <f t="shared" si="45"/>
        <v>п</v>
      </c>
      <c r="B241" s="69" t="s">
        <v>150</v>
      </c>
      <c r="C241" s="69"/>
      <c r="D241" s="118" t="s">
        <v>50</v>
      </c>
      <c r="E241" s="94">
        <v>6015</v>
      </c>
      <c r="F241" s="181" t="s">
        <v>121</v>
      </c>
      <c r="G241" s="280" t="s">
        <v>52</v>
      </c>
      <c r="H241" s="97"/>
      <c r="I241" s="98"/>
      <c r="J241" s="99">
        <f t="shared" si="43"/>
        <v>624900</v>
      </c>
      <c r="K241" s="100">
        <f>500000+124900</f>
        <v>624900</v>
      </c>
      <c r="L241" s="100"/>
      <c r="M241" s="100"/>
    </row>
    <row r="242" spans="1:13" s="19" customFormat="1" ht="39" hidden="1" customHeight="1" thickBot="1" x14ac:dyDescent="0.3">
      <c r="A242" s="9" t="str">
        <f t="shared" si="45"/>
        <v/>
      </c>
      <c r="B242" s="10" t="s">
        <v>150</v>
      </c>
      <c r="C242" s="34"/>
      <c r="D242" s="328"/>
      <c r="E242" s="260"/>
      <c r="F242" s="190"/>
      <c r="G242" s="125" t="s">
        <v>10</v>
      </c>
      <c r="H242" s="266"/>
      <c r="I242" s="48"/>
      <c r="J242" s="57">
        <f t="shared" si="43"/>
        <v>0</v>
      </c>
      <c r="K242" s="25"/>
      <c r="L242" s="24"/>
      <c r="M242" s="20"/>
    </row>
    <row r="243" spans="1:13" s="105" customFormat="1" ht="78.75" hidden="1" customHeight="1" x14ac:dyDescent="0.35">
      <c r="A243" s="68" t="str">
        <f t="shared" si="45"/>
        <v/>
      </c>
      <c r="B243" s="69"/>
      <c r="C243" s="10"/>
      <c r="D243" s="142"/>
      <c r="E243" s="80"/>
      <c r="F243" s="142"/>
      <c r="G243" s="80"/>
      <c r="H243" s="81" t="s">
        <v>202</v>
      </c>
      <c r="I243" s="82" t="s">
        <v>203</v>
      </c>
      <c r="J243" s="83">
        <f t="shared" si="43"/>
        <v>0</v>
      </c>
      <c r="K243" s="84">
        <f>K244</f>
        <v>0</v>
      </c>
      <c r="L243" s="84">
        <f>L244</f>
        <v>0</v>
      </c>
      <c r="M243" s="84">
        <f>M244</f>
        <v>0</v>
      </c>
    </row>
    <row r="244" spans="1:13" s="105" customFormat="1" ht="39.75" hidden="1" customHeight="1" x14ac:dyDescent="0.35">
      <c r="A244" s="68" t="str">
        <f t="shared" si="45"/>
        <v/>
      </c>
      <c r="B244" s="69" t="s">
        <v>147</v>
      </c>
      <c r="C244" s="10"/>
      <c r="D244" s="131" t="s">
        <v>135</v>
      </c>
      <c r="E244" s="106"/>
      <c r="F244" s="106"/>
      <c r="G244" s="107" t="s">
        <v>371</v>
      </c>
      <c r="H244" s="89"/>
      <c r="I244" s="90"/>
      <c r="J244" s="91">
        <f t="shared" si="43"/>
        <v>0</v>
      </c>
      <c r="K244" s="92">
        <f t="shared" ref="K244:M245" si="56">+K245</f>
        <v>0</v>
      </c>
      <c r="L244" s="92">
        <f t="shared" si="56"/>
        <v>0</v>
      </c>
      <c r="M244" s="92">
        <f t="shared" si="56"/>
        <v>0</v>
      </c>
    </row>
    <row r="245" spans="1:13" s="105" customFormat="1" ht="39.75" hidden="1" customHeight="1" x14ac:dyDescent="0.35">
      <c r="A245" s="68" t="str">
        <f t="shared" si="45"/>
        <v/>
      </c>
      <c r="B245" s="69" t="s">
        <v>147</v>
      </c>
      <c r="C245" s="10"/>
      <c r="D245" s="131" t="s">
        <v>136</v>
      </c>
      <c r="E245" s="106"/>
      <c r="F245" s="106"/>
      <c r="G245" s="107" t="s">
        <v>371</v>
      </c>
      <c r="H245" s="132"/>
      <c r="I245" s="133"/>
      <c r="J245" s="134">
        <f t="shared" si="43"/>
        <v>0</v>
      </c>
      <c r="K245" s="155">
        <f t="shared" si="56"/>
        <v>0</v>
      </c>
      <c r="L245" s="175">
        <f t="shared" si="56"/>
        <v>0</v>
      </c>
      <c r="M245" s="175">
        <f t="shared" si="56"/>
        <v>0</v>
      </c>
    </row>
    <row r="246" spans="1:13" s="104" customFormat="1" ht="21" hidden="1" customHeight="1" thickBot="1" x14ac:dyDescent="0.35">
      <c r="A246" s="68" t="str">
        <f t="shared" si="45"/>
        <v/>
      </c>
      <c r="B246" s="69" t="s">
        <v>147</v>
      </c>
      <c r="C246" s="33"/>
      <c r="D246" s="166" t="s">
        <v>164</v>
      </c>
      <c r="E246" s="156" t="s">
        <v>163</v>
      </c>
      <c r="F246" s="158" t="s">
        <v>13</v>
      </c>
      <c r="G246" s="159" t="s">
        <v>165</v>
      </c>
      <c r="H246" s="157"/>
      <c r="I246" s="160"/>
      <c r="J246" s="161">
        <f t="shared" ref="J246:J304" si="57">+K246+L246</f>
        <v>0</v>
      </c>
      <c r="K246" s="161"/>
      <c r="L246" s="161"/>
      <c r="M246" s="161"/>
    </row>
    <row r="247" spans="1:13" s="105" customFormat="1" ht="79.5" customHeight="1" x14ac:dyDescent="0.3">
      <c r="A247" s="68" t="str">
        <f t="shared" si="45"/>
        <v>п</v>
      </c>
      <c r="B247" s="69"/>
      <c r="C247" s="10"/>
      <c r="D247" s="142"/>
      <c r="E247" s="80"/>
      <c r="F247" s="142"/>
      <c r="G247" s="80"/>
      <c r="H247" s="80" t="s">
        <v>353</v>
      </c>
      <c r="I247" s="82" t="s">
        <v>360</v>
      </c>
      <c r="J247" s="84">
        <f t="shared" si="57"/>
        <v>11500000</v>
      </c>
      <c r="K247" s="84">
        <f>K248</f>
        <v>0</v>
      </c>
      <c r="L247" s="84">
        <f>L248</f>
        <v>11500000</v>
      </c>
      <c r="M247" s="84">
        <f>M248</f>
        <v>11500000</v>
      </c>
    </row>
    <row r="248" spans="1:13" s="105" customFormat="1" ht="23.25" customHeight="1" x14ac:dyDescent="0.3">
      <c r="A248" s="68" t="str">
        <f t="shared" si="45"/>
        <v>п</v>
      </c>
      <c r="B248" s="69" t="s">
        <v>147</v>
      </c>
      <c r="C248" s="10"/>
      <c r="D248" s="86" t="s">
        <v>15</v>
      </c>
      <c r="E248" s="86"/>
      <c r="F248" s="86"/>
      <c r="G248" s="88" t="s">
        <v>374</v>
      </c>
      <c r="H248" s="174"/>
      <c r="I248" s="90"/>
      <c r="J248" s="92">
        <f t="shared" si="57"/>
        <v>11500000</v>
      </c>
      <c r="K248" s="92">
        <f t="shared" ref="K248:M249" si="58">+K249</f>
        <v>0</v>
      </c>
      <c r="L248" s="92">
        <f t="shared" si="58"/>
        <v>11500000</v>
      </c>
      <c r="M248" s="92">
        <f t="shared" si="58"/>
        <v>11500000</v>
      </c>
    </row>
    <row r="249" spans="1:13" s="105" customFormat="1" ht="23.25" customHeight="1" x14ac:dyDescent="0.3">
      <c r="A249" s="68" t="str">
        <f t="shared" si="45"/>
        <v>п</v>
      </c>
      <c r="B249" s="69" t="s">
        <v>147</v>
      </c>
      <c r="C249" s="10"/>
      <c r="D249" s="86" t="s">
        <v>14</v>
      </c>
      <c r="E249" s="86"/>
      <c r="F249" s="86"/>
      <c r="G249" s="88" t="s">
        <v>374</v>
      </c>
      <c r="H249" s="151"/>
      <c r="I249" s="133"/>
      <c r="J249" s="155">
        <f t="shared" si="57"/>
        <v>11500000</v>
      </c>
      <c r="K249" s="155">
        <f t="shared" si="58"/>
        <v>0</v>
      </c>
      <c r="L249" s="175">
        <f t="shared" si="58"/>
        <v>11500000</v>
      </c>
      <c r="M249" s="175">
        <f t="shared" si="58"/>
        <v>11500000</v>
      </c>
    </row>
    <row r="250" spans="1:13" s="105" customFormat="1" ht="38.25" thickBot="1" x14ac:dyDescent="0.35">
      <c r="A250" s="68" t="str">
        <f t="shared" si="45"/>
        <v>п</v>
      </c>
      <c r="B250" s="69" t="s">
        <v>147</v>
      </c>
      <c r="C250" s="10"/>
      <c r="D250" s="158" t="s">
        <v>59</v>
      </c>
      <c r="E250" s="156">
        <v>7670</v>
      </c>
      <c r="F250" s="158" t="s">
        <v>123</v>
      </c>
      <c r="G250" s="159" t="s">
        <v>61</v>
      </c>
      <c r="H250" s="157"/>
      <c r="I250" s="160"/>
      <c r="J250" s="161">
        <f t="shared" si="57"/>
        <v>11500000</v>
      </c>
      <c r="K250" s="161"/>
      <c r="L250" s="180">
        <f>11500000</f>
        <v>11500000</v>
      </c>
      <c r="M250" s="180">
        <f>11500000</f>
        <v>11500000</v>
      </c>
    </row>
    <row r="251" spans="1:13" s="104" customFormat="1" ht="125.25" customHeight="1" x14ac:dyDescent="0.3">
      <c r="A251" s="68" t="str">
        <f t="shared" si="45"/>
        <v>п</v>
      </c>
      <c r="B251" s="69"/>
      <c r="C251" s="10"/>
      <c r="D251" s="181"/>
      <c r="E251" s="177"/>
      <c r="F251" s="181"/>
      <c r="G251" s="182"/>
      <c r="H251" s="382" t="s">
        <v>351</v>
      </c>
      <c r="I251" s="183" t="s">
        <v>282</v>
      </c>
      <c r="J251" s="184">
        <f t="shared" si="57"/>
        <v>1209600</v>
      </c>
      <c r="K251" s="185">
        <f>K252</f>
        <v>1209600</v>
      </c>
      <c r="L251" s="185">
        <f>L252</f>
        <v>0</v>
      </c>
      <c r="M251" s="185">
        <f>M252</f>
        <v>0</v>
      </c>
    </row>
    <row r="252" spans="1:13" s="105" customFormat="1" ht="21.75" customHeight="1" x14ac:dyDescent="0.3">
      <c r="A252" s="68" t="str">
        <f>IF(J252=0,"","п")</f>
        <v>п</v>
      </c>
      <c r="B252" s="69" t="s">
        <v>147</v>
      </c>
      <c r="C252" s="33"/>
      <c r="D252" s="86" t="s">
        <v>15</v>
      </c>
      <c r="E252" s="86"/>
      <c r="F252" s="86"/>
      <c r="G252" s="88" t="s">
        <v>374</v>
      </c>
      <c r="H252" s="108"/>
      <c r="I252" s="109"/>
      <c r="J252" s="110">
        <f>+K252+L252</f>
        <v>1209600</v>
      </c>
      <c r="K252" s="112">
        <f>+K253</f>
        <v>1209600</v>
      </c>
      <c r="L252" s="112">
        <f t="shared" ref="L252:M252" si="59">+L253</f>
        <v>0</v>
      </c>
      <c r="M252" s="112">
        <f t="shared" si="59"/>
        <v>0</v>
      </c>
    </row>
    <row r="253" spans="1:13" s="105" customFormat="1" ht="21.75" customHeight="1" x14ac:dyDescent="0.3">
      <c r="A253" s="68" t="str">
        <f t="shared" si="45"/>
        <v>п</v>
      </c>
      <c r="B253" s="69" t="s">
        <v>147</v>
      </c>
      <c r="C253" s="33"/>
      <c r="D253" s="86" t="s">
        <v>14</v>
      </c>
      <c r="E253" s="86"/>
      <c r="F253" s="86"/>
      <c r="G253" s="88" t="s">
        <v>374</v>
      </c>
      <c r="H253" s="162"/>
      <c r="I253" s="163"/>
      <c r="J253" s="164">
        <f t="shared" si="57"/>
        <v>1209600</v>
      </c>
      <c r="K253" s="172">
        <f>+K257+K256+K254+K255</f>
        <v>1209600</v>
      </c>
      <c r="L253" s="172">
        <f t="shared" ref="L253:M253" si="60">+L257+L256+L254+L255</f>
        <v>0</v>
      </c>
      <c r="M253" s="172">
        <f t="shared" si="60"/>
        <v>0</v>
      </c>
    </row>
    <row r="254" spans="1:13" s="19" customFormat="1" ht="42.75" customHeight="1" x14ac:dyDescent="0.25">
      <c r="A254" s="9" t="str">
        <f t="shared" si="45"/>
        <v>п</v>
      </c>
      <c r="B254" s="69" t="s">
        <v>147</v>
      </c>
      <c r="C254" s="33"/>
      <c r="D254" s="265" t="s">
        <v>263</v>
      </c>
      <c r="E254" s="265" t="s">
        <v>264</v>
      </c>
      <c r="F254" s="265" t="s">
        <v>175</v>
      </c>
      <c r="G254" s="314" t="s">
        <v>265</v>
      </c>
      <c r="H254" s="97"/>
      <c r="I254" s="39"/>
      <c r="J254" s="99">
        <f t="shared" si="57"/>
        <v>1000000</v>
      </c>
      <c r="K254" s="100">
        <v>1000000</v>
      </c>
      <c r="L254" s="113"/>
      <c r="M254" s="113"/>
    </row>
    <row r="255" spans="1:13" s="19" customFormat="1" ht="32.25" hidden="1" customHeight="1" x14ac:dyDescent="0.25">
      <c r="A255" s="9" t="str">
        <f t="shared" ref="A255" si="61">IF(J255=0,"","п")</f>
        <v/>
      </c>
      <c r="B255" s="69" t="s">
        <v>147</v>
      </c>
      <c r="C255" s="33"/>
      <c r="D255" s="265" t="s">
        <v>310</v>
      </c>
      <c r="E255" s="265" t="s">
        <v>311</v>
      </c>
      <c r="F255" s="265" t="s">
        <v>261</v>
      </c>
      <c r="G255" s="314" t="s">
        <v>289</v>
      </c>
      <c r="H255" s="97"/>
      <c r="I255" s="39"/>
      <c r="J255" s="99">
        <f t="shared" si="57"/>
        <v>0</v>
      </c>
      <c r="K255" s="100"/>
      <c r="L255" s="100"/>
      <c r="M255" s="100"/>
    </row>
    <row r="256" spans="1:13" s="19" customFormat="1" ht="24.75" hidden="1" customHeight="1" x14ac:dyDescent="0.25">
      <c r="A256" s="9" t="str">
        <f t="shared" si="45"/>
        <v/>
      </c>
      <c r="B256" s="69" t="s">
        <v>147</v>
      </c>
      <c r="C256" s="33"/>
      <c r="D256" s="95" t="s">
        <v>79</v>
      </c>
      <c r="E256" s="122">
        <v>9800</v>
      </c>
      <c r="F256" s="95" t="s">
        <v>126</v>
      </c>
      <c r="G256" s="96" t="s">
        <v>81</v>
      </c>
      <c r="H256" s="97"/>
      <c r="I256" s="98"/>
      <c r="J256" s="99">
        <f t="shared" si="57"/>
        <v>0</v>
      </c>
      <c r="K256" s="100"/>
      <c r="L256" s="100"/>
      <c r="M256" s="100"/>
    </row>
    <row r="257" spans="1:13" s="104" customFormat="1" ht="19.5" thickBot="1" x14ac:dyDescent="0.35">
      <c r="A257" s="68" t="str">
        <f t="shared" si="45"/>
        <v>п</v>
      </c>
      <c r="B257" s="69" t="s">
        <v>147</v>
      </c>
      <c r="C257" s="10"/>
      <c r="D257" s="166" t="s">
        <v>62</v>
      </c>
      <c r="E257" s="158" t="s">
        <v>63</v>
      </c>
      <c r="F257" s="158" t="s">
        <v>126</v>
      </c>
      <c r="G257" s="159" t="s">
        <v>64</v>
      </c>
      <c r="H257" s="167"/>
      <c r="I257" s="160"/>
      <c r="J257" s="173">
        <f t="shared" si="57"/>
        <v>209600</v>
      </c>
      <c r="K257" s="161">
        <v>209600</v>
      </c>
      <c r="L257" s="186"/>
      <c r="M257" s="186"/>
    </row>
    <row r="258" spans="1:13" s="104" customFormat="1" ht="60" customHeight="1" x14ac:dyDescent="0.3">
      <c r="A258" s="68" t="str">
        <f t="shared" si="45"/>
        <v>п</v>
      </c>
      <c r="B258" s="69"/>
      <c r="C258" s="10"/>
      <c r="D258" s="79"/>
      <c r="E258" s="78"/>
      <c r="F258" s="79"/>
      <c r="G258" s="80"/>
      <c r="H258" s="81" t="s">
        <v>354</v>
      </c>
      <c r="I258" s="82" t="s">
        <v>361</v>
      </c>
      <c r="J258" s="83">
        <f>+K258+L258</f>
        <v>38987190</v>
      </c>
      <c r="K258" s="84">
        <f>+K259+K286+K299+K308+K295+K341+K337</f>
        <v>14823076</v>
      </c>
      <c r="L258" s="84">
        <f t="shared" ref="L258:M258" si="62">+L259+L286+L299+L308+L295+L341+L337</f>
        <v>24164114</v>
      </c>
      <c r="M258" s="84">
        <f t="shared" si="62"/>
        <v>24164114</v>
      </c>
    </row>
    <row r="259" spans="1:13" s="19" customFormat="1" ht="25.5" customHeight="1" x14ac:dyDescent="0.25">
      <c r="A259" s="9" t="str">
        <f t="shared" si="45"/>
        <v>п</v>
      </c>
      <c r="B259" s="69" t="s">
        <v>147</v>
      </c>
      <c r="C259" s="33"/>
      <c r="D259" s="86" t="s">
        <v>15</v>
      </c>
      <c r="E259" s="86"/>
      <c r="F259" s="86"/>
      <c r="G259" s="88" t="s">
        <v>374</v>
      </c>
      <c r="H259" s="108"/>
      <c r="I259" s="109"/>
      <c r="J259" s="110">
        <f t="shared" si="57"/>
        <v>95200</v>
      </c>
      <c r="K259" s="111">
        <f>+K260</f>
        <v>0</v>
      </c>
      <c r="L259" s="111">
        <f>+L260</f>
        <v>95200</v>
      </c>
      <c r="M259" s="111">
        <f>+M260</f>
        <v>95200</v>
      </c>
    </row>
    <row r="260" spans="1:13" s="19" customFormat="1" ht="25.5" customHeight="1" x14ac:dyDescent="0.25">
      <c r="A260" s="9" t="str">
        <f t="shared" si="45"/>
        <v>п</v>
      </c>
      <c r="B260" s="69" t="s">
        <v>147</v>
      </c>
      <c r="C260" s="33"/>
      <c r="D260" s="86" t="s">
        <v>14</v>
      </c>
      <c r="E260" s="86"/>
      <c r="F260" s="86"/>
      <c r="G260" s="88" t="s">
        <v>374</v>
      </c>
      <c r="H260" s="108"/>
      <c r="I260" s="109"/>
      <c r="J260" s="110">
        <f>+K260+L260</f>
        <v>95200</v>
      </c>
      <c r="K260" s="111">
        <f>SUM(K261:K285)-K267</f>
        <v>0</v>
      </c>
      <c r="L260" s="111">
        <f>SUM(L261:L285)-L267</f>
        <v>95200</v>
      </c>
      <c r="M260" s="111">
        <f>SUM(M261:M285)-M267</f>
        <v>95200</v>
      </c>
    </row>
    <row r="261" spans="1:13" s="12" customFormat="1" ht="76.5" customHeight="1" x14ac:dyDescent="0.25">
      <c r="A261" s="9" t="str">
        <f t="shared" si="45"/>
        <v>п</v>
      </c>
      <c r="B261" s="10" t="s">
        <v>147</v>
      </c>
      <c r="C261" s="35"/>
      <c r="D261" s="262" t="s">
        <v>82</v>
      </c>
      <c r="E261" s="262" t="s">
        <v>83</v>
      </c>
      <c r="F261" s="95" t="s">
        <v>77</v>
      </c>
      <c r="G261" s="280" t="s">
        <v>84</v>
      </c>
      <c r="H261" s="168"/>
      <c r="I261" s="169"/>
      <c r="J261" s="170">
        <f t="shared" si="57"/>
        <v>95200</v>
      </c>
      <c r="K261" s="171"/>
      <c r="L261" s="171">
        <v>95200</v>
      </c>
      <c r="M261" s="171">
        <v>95200</v>
      </c>
    </row>
    <row r="262" spans="1:13" s="12" customFormat="1" ht="40.5" hidden="1" customHeight="1" x14ac:dyDescent="0.25">
      <c r="A262" s="9" t="str">
        <f t="shared" si="45"/>
        <v/>
      </c>
      <c r="B262" s="10" t="s">
        <v>147</v>
      </c>
      <c r="C262" s="35"/>
      <c r="D262" s="262" t="s">
        <v>30</v>
      </c>
      <c r="E262" s="262" t="s">
        <v>142</v>
      </c>
      <c r="F262" s="95" t="s">
        <v>131</v>
      </c>
      <c r="G262" s="280" t="s">
        <v>140</v>
      </c>
      <c r="H262" s="168"/>
      <c r="I262" s="49"/>
      <c r="J262" s="58">
        <f t="shared" si="57"/>
        <v>0</v>
      </c>
      <c r="K262" s="20"/>
      <c r="L262" s="20"/>
      <c r="M262" s="20"/>
    </row>
    <row r="263" spans="1:13" s="12" customFormat="1" ht="23.25" hidden="1" customHeight="1" x14ac:dyDescent="0.25">
      <c r="A263" s="9" t="str">
        <f t="shared" si="45"/>
        <v/>
      </c>
      <c r="B263" s="10" t="s">
        <v>147</v>
      </c>
      <c r="C263" s="35"/>
      <c r="D263" s="262" t="s">
        <v>90</v>
      </c>
      <c r="E263" s="262" t="s">
        <v>91</v>
      </c>
      <c r="F263" s="95" t="s">
        <v>92</v>
      </c>
      <c r="G263" s="280" t="s">
        <v>93</v>
      </c>
      <c r="H263" s="168"/>
      <c r="I263" s="49"/>
      <c r="J263" s="58">
        <f t="shared" si="57"/>
        <v>0</v>
      </c>
      <c r="K263" s="20"/>
      <c r="L263" s="20"/>
      <c r="M263" s="20"/>
    </row>
    <row r="264" spans="1:13" s="12" customFormat="1" ht="61.5" hidden="1" customHeight="1" x14ac:dyDescent="0.25">
      <c r="A264" s="9" t="str">
        <f t="shared" si="45"/>
        <v/>
      </c>
      <c r="B264" s="10" t="s">
        <v>147</v>
      </c>
      <c r="C264" s="33"/>
      <c r="D264" s="118" t="s">
        <v>27</v>
      </c>
      <c r="E264" s="94" t="s">
        <v>28</v>
      </c>
      <c r="F264" s="95" t="s">
        <v>71</v>
      </c>
      <c r="G264" s="96" t="s">
        <v>29</v>
      </c>
      <c r="H264" s="97"/>
      <c r="I264" s="39"/>
      <c r="J264" s="53">
        <f t="shared" si="57"/>
        <v>0</v>
      </c>
      <c r="K264" s="16"/>
      <c r="L264" s="16"/>
      <c r="M264" s="16"/>
    </row>
    <row r="265" spans="1:13" s="12" customFormat="1" ht="21" hidden="1" customHeight="1" x14ac:dyDescent="0.25">
      <c r="A265" s="9" t="str">
        <f t="shared" si="45"/>
        <v/>
      </c>
      <c r="B265" s="10" t="s">
        <v>147</v>
      </c>
      <c r="C265" s="33"/>
      <c r="D265" s="118"/>
      <c r="E265" s="94"/>
      <c r="F265" s="95"/>
      <c r="G265" s="96"/>
      <c r="H265" s="122"/>
      <c r="I265" s="39"/>
      <c r="J265" s="16">
        <f t="shared" si="57"/>
        <v>0</v>
      </c>
      <c r="K265" s="16"/>
      <c r="L265" s="16"/>
      <c r="M265" s="16"/>
    </row>
    <row r="266" spans="1:13" s="12" customFormat="1" ht="76.5" hidden="1" customHeight="1" x14ac:dyDescent="0.25">
      <c r="A266" s="9" t="str">
        <f t="shared" si="45"/>
        <v/>
      </c>
      <c r="B266" s="10" t="s">
        <v>147</v>
      </c>
      <c r="C266" s="33"/>
      <c r="D266" s="118" t="s">
        <v>33</v>
      </c>
      <c r="E266" s="94" t="s">
        <v>34</v>
      </c>
      <c r="F266" s="95" t="s">
        <v>122</v>
      </c>
      <c r="G266" s="96" t="s">
        <v>35</v>
      </c>
      <c r="H266" s="97"/>
      <c r="I266" s="39"/>
      <c r="J266" s="99">
        <f t="shared" si="57"/>
        <v>0</v>
      </c>
      <c r="K266" s="100"/>
      <c r="L266" s="138"/>
      <c r="M266" s="138"/>
    </row>
    <row r="267" spans="1:13" s="26" customFormat="1" ht="39" hidden="1" customHeight="1" x14ac:dyDescent="0.3">
      <c r="A267" s="9" t="str">
        <f t="shared" si="45"/>
        <v/>
      </c>
      <c r="B267" s="31" t="s">
        <v>147</v>
      </c>
      <c r="C267" s="34"/>
      <c r="D267" s="331"/>
      <c r="E267" s="123"/>
      <c r="F267" s="124"/>
      <c r="G267" s="125" t="s">
        <v>10</v>
      </c>
      <c r="H267" s="187"/>
      <c r="I267" s="50"/>
      <c r="J267" s="128">
        <f t="shared" si="57"/>
        <v>0</v>
      </c>
      <c r="K267" s="129"/>
      <c r="L267" s="149"/>
      <c r="M267" s="149"/>
    </row>
    <row r="268" spans="1:13" s="12" customFormat="1" ht="18" hidden="1" customHeight="1" x14ac:dyDescent="0.25">
      <c r="A268" s="9" t="str">
        <f t="shared" si="45"/>
        <v/>
      </c>
      <c r="B268" s="10" t="s">
        <v>147</v>
      </c>
      <c r="C268" s="33"/>
      <c r="D268" s="118" t="s">
        <v>86</v>
      </c>
      <c r="E268" s="94" t="s">
        <v>87</v>
      </c>
      <c r="F268" s="95" t="s">
        <v>88</v>
      </c>
      <c r="G268" s="96" t="s">
        <v>89</v>
      </c>
      <c r="H268" s="122"/>
      <c r="I268" s="39"/>
      <c r="J268" s="100">
        <f t="shared" si="57"/>
        <v>0</v>
      </c>
      <c r="K268" s="100"/>
      <c r="L268" s="100"/>
      <c r="M268" s="100"/>
    </row>
    <row r="269" spans="1:13" s="12" customFormat="1" ht="21" hidden="1" customHeight="1" x14ac:dyDescent="0.25">
      <c r="A269" s="9" t="str">
        <f t="shared" si="45"/>
        <v/>
      </c>
      <c r="B269" s="10" t="s">
        <v>147</v>
      </c>
      <c r="C269" s="33"/>
      <c r="D269" s="118" t="s">
        <v>72</v>
      </c>
      <c r="E269" s="94" t="s">
        <v>73</v>
      </c>
      <c r="F269" s="95" t="s">
        <v>124</v>
      </c>
      <c r="G269" s="96" t="s">
        <v>74</v>
      </c>
      <c r="H269" s="97"/>
      <c r="I269" s="39"/>
      <c r="J269" s="99">
        <f t="shared" si="57"/>
        <v>0</v>
      </c>
      <c r="K269" s="100"/>
      <c r="L269" s="100"/>
      <c r="M269" s="100"/>
    </row>
    <row r="270" spans="1:13" s="12" customFormat="1" ht="21" hidden="1" customHeight="1" x14ac:dyDescent="0.25">
      <c r="A270" s="9" t="str">
        <f t="shared" si="45"/>
        <v/>
      </c>
      <c r="B270" s="10" t="s">
        <v>147</v>
      </c>
      <c r="C270" s="33"/>
      <c r="D270" s="118"/>
      <c r="E270" s="94"/>
      <c r="F270" s="95"/>
      <c r="G270" s="96"/>
      <c r="H270" s="122"/>
      <c r="I270" s="39"/>
      <c r="J270" s="100">
        <f t="shared" si="57"/>
        <v>0</v>
      </c>
      <c r="K270" s="100"/>
      <c r="L270" s="100"/>
      <c r="M270" s="100"/>
    </row>
    <row r="271" spans="1:13" s="12" customFormat="1" hidden="1" x14ac:dyDescent="0.25">
      <c r="A271" s="9" t="str">
        <f t="shared" si="45"/>
        <v/>
      </c>
      <c r="B271" s="10" t="s">
        <v>147</v>
      </c>
      <c r="C271" s="33"/>
      <c r="D271" s="118"/>
      <c r="E271" s="95"/>
      <c r="F271" s="95"/>
      <c r="G271" s="96"/>
      <c r="H271" s="122"/>
      <c r="I271" s="39"/>
      <c r="J271" s="100">
        <f t="shared" si="57"/>
        <v>0</v>
      </c>
      <c r="K271" s="100"/>
      <c r="L271" s="100"/>
      <c r="M271" s="100"/>
    </row>
    <row r="272" spans="1:13" s="12" customFormat="1" ht="19.5" hidden="1" customHeight="1" x14ac:dyDescent="0.25">
      <c r="A272" s="9" t="str">
        <f t="shared" si="45"/>
        <v/>
      </c>
      <c r="B272" s="10" t="s">
        <v>147</v>
      </c>
      <c r="C272" s="33"/>
      <c r="D272" s="118" t="s">
        <v>181</v>
      </c>
      <c r="E272" s="94" t="s">
        <v>182</v>
      </c>
      <c r="F272" s="95" t="s">
        <v>175</v>
      </c>
      <c r="G272" s="96" t="s">
        <v>183</v>
      </c>
      <c r="H272" s="122"/>
      <c r="I272" s="39"/>
      <c r="J272" s="100">
        <f t="shared" si="57"/>
        <v>0</v>
      </c>
      <c r="K272" s="100"/>
      <c r="L272" s="100"/>
      <c r="M272" s="100"/>
    </row>
    <row r="273" spans="1:13" s="12" customFormat="1" ht="18" hidden="1" customHeight="1" x14ac:dyDescent="0.25">
      <c r="A273" s="9" t="str">
        <f t="shared" si="45"/>
        <v/>
      </c>
      <c r="B273" s="10" t="s">
        <v>147</v>
      </c>
      <c r="C273" s="33"/>
      <c r="D273" s="118"/>
      <c r="E273" s="94"/>
      <c r="F273" s="95"/>
      <c r="G273" s="96"/>
      <c r="H273" s="122"/>
      <c r="I273" s="39"/>
      <c r="J273" s="100">
        <f t="shared" si="57"/>
        <v>0</v>
      </c>
      <c r="K273" s="100">
        <f>+K274</f>
        <v>0</v>
      </c>
      <c r="L273" s="100">
        <f>+L274</f>
        <v>0</v>
      </c>
      <c r="M273" s="100">
        <f>+M274</f>
        <v>0</v>
      </c>
    </row>
    <row r="274" spans="1:13" s="12" customFormat="1" hidden="1" x14ac:dyDescent="0.25">
      <c r="A274" s="9" t="str">
        <f t="shared" si="45"/>
        <v/>
      </c>
      <c r="B274" s="10" t="s">
        <v>147</v>
      </c>
      <c r="C274" s="33"/>
      <c r="D274" s="118"/>
      <c r="E274" s="94"/>
      <c r="F274" s="95"/>
      <c r="G274" s="96"/>
      <c r="H274" s="122"/>
      <c r="I274" s="39"/>
      <c r="J274" s="100">
        <f t="shared" si="57"/>
        <v>0</v>
      </c>
      <c r="K274" s="100"/>
      <c r="L274" s="100"/>
      <c r="M274" s="100"/>
    </row>
    <row r="275" spans="1:13" s="12" customFormat="1" ht="18.75" hidden="1" customHeight="1" x14ac:dyDescent="0.25">
      <c r="A275" s="9" t="str">
        <f t="shared" ref="A275:A345" si="63">IF(J275=0,"","п")</f>
        <v/>
      </c>
      <c r="B275" s="31" t="s">
        <v>147</v>
      </c>
      <c r="C275" s="34"/>
      <c r="D275" s="331"/>
      <c r="E275" s="123"/>
      <c r="F275" s="124"/>
      <c r="G275" s="145"/>
      <c r="H275" s="126"/>
      <c r="I275" s="50"/>
      <c r="J275" s="129">
        <f t="shared" si="57"/>
        <v>0</v>
      </c>
      <c r="K275" s="129"/>
      <c r="L275" s="129"/>
      <c r="M275" s="129"/>
    </row>
    <row r="276" spans="1:13" s="12" customFormat="1" hidden="1" x14ac:dyDescent="0.25">
      <c r="A276" s="9" t="str">
        <f t="shared" si="63"/>
        <v/>
      </c>
      <c r="B276" s="10" t="s">
        <v>147</v>
      </c>
      <c r="C276" s="33"/>
      <c r="D276" s="118"/>
      <c r="E276" s="177"/>
      <c r="F276" s="181"/>
      <c r="G276" s="280"/>
      <c r="H276" s="122"/>
      <c r="I276" s="39"/>
      <c r="J276" s="100">
        <f t="shared" si="57"/>
        <v>0</v>
      </c>
      <c r="K276" s="100"/>
      <c r="L276" s="100"/>
      <c r="M276" s="100"/>
    </row>
    <row r="277" spans="1:13" s="12" customFormat="1" hidden="1" x14ac:dyDescent="0.25">
      <c r="A277" s="9" t="str">
        <f t="shared" si="63"/>
        <v/>
      </c>
      <c r="B277" s="10" t="s">
        <v>147</v>
      </c>
      <c r="C277" s="33"/>
      <c r="D277" s="118"/>
      <c r="E277" s="177"/>
      <c r="F277" s="95"/>
      <c r="G277" s="280"/>
      <c r="H277" s="122"/>
      <c r="I277" s="39"/>
      <c r="J277" s="100">
        <f t="shared" si="57"/>
        <v>0</v>
      </c>
      <c r="K277" s="100"/>
      <c r="L277" s="100">
        <f>147000-147000</f>
        <v>0</v>
      </c>
      <c r="M277" s="100">
        <f>147000-147000</f>
        <v>0</v>
      </c>
    </row>
    <row r="278" spans="1:13" s="12" customFormat="1" hidden="1" x14ac:dyDescent="0.25">
      <c r="A278" s="9" t="str">
        <f t="shared" si="63"/>
        <v/>
      </c>
      <c r="B278" s="10" t="s">
        <v>147</v>
      </c>
      <c r="C278" s="33"/>
      <c r="D278" s="118"/>
      <c r="E278" s="94"/>
      <c r="F278" s="95"/>
      <c r="G278" s="96"/>
      <c r="H278" s="122"/>
      <c r="I278" s="39"/>
      <c r="J278" s="100">
        <f t="shared" si="57"/>
        <v>0</v>
      </c>
      <c r="K278" s="100"/>
      <c r="L278" s="100"/>
      <c r="M278" s="100"/>
    </row>
    <row r="279" spans="1:13" s="12" customFormat="1" ht="18" hidden="1" customHeight="1" x14ac:dyDescent="0.25">
      <c r="A279" s="9" t="str">
        <f t="shared" si="63"/>
        <v/>
      </c>
      <c r="B279" s="10" t="s">
        <v>147</v>
      </c>
      <c r="C279" s="33"/>
      <c r="D279" s="118"/>
      <c r="E279" s="263"/>
      <c r="F279" s="181"/>
      <c r="G279" s="280"/>
      <c r="H279" s="122"/>
      <c r="I279" s="39"/>
      <c r="J279" s="100">
        <f t="shared" si="57"/>
        <v>0</v>
      </c>
      <c r="K279" s="100"/>
      <c r="L279" s="100"/>
      <c r="M279" s="100"/>
    </row>
    <row r="280" spans="1:13" s="26" customFormat="1" ht="20.25" hidden="1" customHeight="1" x14ac:dyDescent="0.3">
      <c r="A280" s="9" t="str">
        <f t="shared" si="63"/>
        <v/>
      </c>
      <c r="B280" s="31" t="s">
        <v>147</v>
      </c>
      <c r="C280" s="34"/>
      <c r="D280" s="331"/>
      <c r="E280" s="123"/>
      <c r="F280" s="124"/>
      <c r="G280" s="145"/>
      <c r="H280" s="126"/>
      <c r="I280" s="50"/>
      <c r="J280" s="129">
        <f t="shared" si="57"/>
        <v>0</v>
      </c>
      <c r="K280" s="129"/>
      <c r="L280" s="129"/>
      <c r="M280" s="129"/>
    </row>
    <row r="281" spans="1:13" s="26" customFormat="1" ht="20.25" hidden="1" customHeight="1" x14ac:dyDescent="0.3">
      <c r="A281" s="9" t="str">
        <f t="shared" si="63"/>
        <v/>
      </c>
      <c r="B281" s="10" t="s">
        <v>147</v>
      </c>
      <c r="C281" s="34"/>
      <c r="D281" s="95"/>
      <c r="E281" s="122"/>
      <c r="F281" s="95"/>
      <c r="G281" s="96"/>
      <c r="H281" s="122"/>
      <c r="I281" s="39"/>
      <c r="J281" s="100">
        <f t="shared" si="57"/>
        <v>0</v>
      </c>
      <c r="K281" s="100"/>
      <c r="L281" s="100"/>
      <c r="M281" s="100"/>
    </row>
    <row r="282" spans="1:13" s="12" customFormat="1" ht="58.5" hidden="1" customHeight="1" x14ac:dyDescent="0.25">
      <c r="A282" s="9" t="str">
        <f t="shared" si="63"/>
        <v/>
      </c>
      <c r="B282" s="10" t="s">
        <v>147</v>
      </c>
      <c r="C282" s="33"/>
      <c r="D282" s="118"/>
      <c r="E282" s="122"/>
      <c r="F282" s="95"/>
      <c r="G282" s="96"/>
      <c r="H282" s="122"/>
      <c r="I282" s="39"/>
      <c r="J282" s="100">
        <f t="shared" si="57"/>
        <v>0</v>
      </c>
      <c r="K282" s="100"/>
      <c r="L282" s="100"/>
      <c r="M282" s="100"/>
    </row>
    <row r="283" spans="1:13" s="12" customFormat="1" ht="21" hidden="1" customHeight="1" x14ac:dyDescent="0.25">
      <c r="A283" s="9" t="str">
        <f t="shared" si="63"/>
        <v/>
      </c>
      <c r="B283" s="69" t="s">
        <v>147</v>
      </c>
      <c r="C283" s="33"/>
      <c r="D283" s="118" t="s">
        <v>62</v>
      </c>
      <c r="E283" s="94">
        <v>9770</v>
      </c>
      <c r="F283" s="95" t="s">
        <v>126</v>
      </c>
      <c r="G283" s="96" t="s">
        <v>64</v>
      </c>
      <c r="H283" s="122"/>
      <c r="I283" s="98"/>
      <c r="J283" s="100">
        <f t="shared" si="57"/>
        <v>0</v>
      </c>
      <c r="K283" s="100"/>
      <c r="L283" s="100"/>
      <c r="M283" s="100"/>
    </row>
    <row r="284" spans="1:13" s="12" customFormat="1" ht="56.25" hidden="1" x14ac:dyDescent="0.25">
      <c r="A284" s="9" t="str">
        <f t="shared" si="63"/>
        <v/>
      </c>
      <c r="B284" s="69" t="s">
        <v>147</v>
      </c>
      <c r="C284" s="33"/>
      <c r="D284" s="262" t="s">
        <v>79</v>
      </c>
      <c r="E284" s="177" t="s">
        <v>80</v>
      </c>
      <c r="F284" s="181" t="s">
        <v>126</v>
      </c>
      <c r="G284" s="280" t="s">
        <v>81</v>
      </c>
      <c r="H284" s="168"/>
      <c r="I284" s="49"/>
      <c r="J284" s="170">
        <f t="shared" si="57"/>
        <v>0</v>
      </c>
      <c r="K284" s="171"/>
      <c r="L284" s="171"/>
      <c r="M284" s="171"/>
    </row>
    <row r="285" spans="1:13" s="12" customFormat="1" hidden="1" x14ac:dyDescent="0.25">
      <c r="A285" s="9" t="str">
        <f t="shared" si="63"/>
        <v/>
      </c>
      <c r="B285" s="10" t="s">
        <v>147</v>
      </c>
      <c r="C285" s="33"/>
      <c r="D285" s="118"/>
      <c r="E285" s="177"/>
      <c r="F285" s="181"/>
      <c r="G285" s="280"/>
      <c r="H285" s="177"/>
      <c r="I285" s="49"/>
      <c r="J285" s="20">
        <f t="shared" si="57"/>
        <v>0</v>
      </c>
      <c r="K285" s="20"/>
      <c r="L285" s="20"/>
      <c r="M285" s="20"/>
    </row>
    <row r="286" spans="1:13" s="19" customFormat="1" ht="24" hidden="1" customHeight="1" x14ac:dyDescent="0.25">
      <c r="A286" s="9" t="str">
        <f t="shared" si="63"/>
        <v/>
      </c>
      <c r="B286" s="10" t="s">
        <v>149</v>
      </c>
      <c r="C286" s="10"/>
      <c r="D286" s="86" t="s">
        <v>41</v>
      </c>
      <c r="E286" s="87"/>
      <c r="F286" s="87"/>
      <c r="G286" s="88" t="s">
        <v>372</v>
      </c>
      <c r="H286" s="108"/>
      <c r="I286" s="60"/>
      <c r="J286" s="110">
        <f t="shared" si="57"/>
        <v>0</v>
      </c>
      <c r="K286" s="111">
        <f>+K287</f>
        <v>0</v>
      </c>
      <c r="L286" s="111">
        <f>+L287</f>
        <v>0</v>
      </c>
      <c r="M286" s="111">
        <f>+M287</f>
        <v>0</v>
      </c>
    </row>
    <row r="287" spans="1:13" s="19" customFormat="1" ht="24" hidden="1" customHeight="1" x14ac:dyDescent="0.25">
      <c r="A287" s="9" t="str">
        <f t="shared" si="63"/>
        <v/>
      </c>
      <c r="B287" s="10" t="s">
        <v>149</v>
      </c>
      <c r="C287" s="10"/>
      <c r="D287" s="86" t="s">
        <v>42</v>
      </c>
      <c r="E287" s="87"/>
      <c r="F287" s="87"/>
      <c r="G287" s="88" t="s">
        <v>372</v>
      </c>
      <c r="H287" s="108"/>
      <c r="I287" s="60"/>
      <c r="J287" s="110">
        <f t="shared" si="57"/>
        <v>0</v>
      </c>
      <c r="K287" s="111">
        <f>SUM(K288:K294)-K291-K289</f>
        <v>0</v>
      </c>
      <c r="L287" s="111">
        <f>SUM(L288:L294)-L291-L289</f>
        <v>0</v>
      </c>
      <c r="M287" s="111">
        <f>SUM(M288:M294)-M291-M289</f>
        <v>0</v>
      </c>
    </row>
    <row r="288" spans="1:13" s="12" customFormat="1" ht="60.75" hidden="1" customHeight="1" x14ac:dyDescent="0.25">
      <c r="A288" s="9" t="str">
        <f t="shared" si="63"/>
        <v/>
      </c>
      <c r="B288" s="10" t="s">
        <v>149</v>
      </c>
      <c r="C288" s="10"/>
      <c r="D288" s="118" t="s">
        <v>108</v>
      </c>
      <c r="E288" s="95" t="s">
        <v>76</v>
      </c>
      <c r="F288" s="95" t="s">
        <v>77</v>
      </c>
      <c r="G288" s="280" t="s">
        <v>78</v>
      </c>
      <c r="H288" s="97" t="s">
        <v>119</v>
      </c>
      <c r="I288" s="39"/>
      <c r="J288" s="53">
        <f t="shared" si="57"/>
        <v>0</v>
      </c>
      <c r="K288" s="16"/>
      <c r="L288" s="14"/>
      <c r="M288" s="14"/>
    </row>
    <row r="289" spans="1:13" s="12" customFormat="1" ht="42" hidden="1" customHeight="1" x14ac:dyDescent="0.25">
      <c r="A289" s="9" t="str">
        <f t="shared" si="63"/>
        <v/>
      </c>
      <c r="B289" s="31" t="s">
        <v>149</v>
      </c>
      <c r="C289" s="34"/>
      <c r="D289" s="331"/>
      <c r="E289" s="123"/>
      <c r="F289" s="124"/>
      <c r="G289" s="125" t="s">
        <v>10</v>
      </c>
      <c r="H289" s="187"/>
      <c r="I289" s="50"/>
      <c r="J289" s="54">
        <f t="shared" si="57"/>
        <v>0</v>
      </c>
      <c r="K289" s="13"/>
      <c r="L289" s="13"/>
      <c r="M289" s="13"/>
    </row>
    <row r="290" spans="1:13" s="12" customFormat="1" ht="60.75" hidden="1" customHeight="1" x14ac:dyDescent="0.25">
      <c r="A290" s="9" t="str">
        <f t="shared" si="63"/>
        <v/>
      </c>
      <c r="B290" s="10" t="s">
        <v>149</v>
      </c>
      <c r="C290" s="10"/>
      <c r="D290" s="118" t="s">
        <v>209</v>
      </c>
      <c r="E290" s="94" t="s">
        <v>210</v>
      </c>
      <c r="F290" s="95" t="s">
        <v>128</v>
      </c>
      <c r="G290" s="96" t="s">
        <v>277</v>
      </c>
      <c r="H290" s="97" t="s">
        <v>119</v>
      </c>
      <c r="I290" s="98"/>
      <c r="J290" s="99">
        <f t="shared" si="57"/>
        <v>0</v>
      </c>
      <c r="K290" s="100"/>
      <c r="L290" s="113">
        <f>245000-245000</f>
        <v>0</v>
      </c>
      <c r="M290" s="113">
        <f>245000-245000</f>
        <v>0</v>
      </c>
    </row>
    <row r="291" spans="1:13" s="12" customFormat="1" ht="42" hidden="1" customHeight="1" x14ac:dyDescent="0.25">
      <c r="A291" s="9" t="str">
        <f t="shared" si="63"/>
        <v/>
      </c>
      <c r="B291" s="31" t="s">
        <v>149</v>
      </c>
      <c r="C291" s="34"/>
      <c r="D291" s="331"/>
      <c r="E291" s="123"/>
      <c r="F291" s="124"/>
      <c r="G291" s="125" t="s">
        <v>10</v>
      </c>
      <c r="H291" s="187"/>
      <c r="I291" s="50"/>
      <c r="J291" s="54">
        <f t="shared" si="57"/>
        <v>0</v>
      </c>
      <c r="K291" s="13"/>
      <c r="L291" s="13"/>
      <c r="M291" s="13"/>
    </row>
    <row r="292" spans="1:13" s="12" customFormat="1" ht="42.75" hidden="1" customHeight="1" x14ac:dyDescent="0.25">
      <c r="A292" s="9" t="str">
        <f t="shared" si="63"/>
        <v/>
      </c>
      <c r="B292" s="10" t="s">
        <v>149</v>
      </c>
      <c r="C292" s="10"/>
      <c r="D292" s="118" t="s">
        <v>294</v>
      </c>
      <c r="E292" s="94" t="s">
        <v>295</v>
      </c>
      <c r="F292" s="95" t="s">
        <v>161</v>
      </c>
      <c r="G292" s="96" t="s">
        <v>296</v>
      </c>
      <c r="H292" s="135"/>
      <c r="I292" s="40"/>
      <c r="J292" s="137">
        <f t="shared" si="57"/>
        <v>0</v>
      </c>
      <c r="K292" s="138"/>
      <c r="L292" s="138"/>
      <c r="M292" s="138"/>
    </row>
    <row r="293" spans="1:13" s="12" customFormat="1" ht="41.25" hidden="1" customHeight="1" x14ac:dyDescent="0.25">
      <c r="A293" s="9" t="str">
        <f t="shared" si="63"/>
        <v/>
      </c>
      <c r="B293" s="10" t="s">
        <v>149</v>
      </c>
      <c r="C293" s="10"/>
      <c r="D293" s="118" t="s">
        <v>301</v>
      </c>
      <c r="E293" s="94" t="s">
        <v>302</v>
      </c>
      <c r="F293" s="95" t="s">
        <v>161</v>
      </c>
      <c r="G293" s="96" t="s">
        <v>303</v>
      </c>
      <c r="H293" s="122"/>
      <c r="I293" s="39"/>
      <c r="J293" s="100">
        <f t="shared" si="57"/>
        <v>0</v>
      </c>
      <c r="K293" s="100"/>
      <c r="L293" s="113"/>
      <c r="M293" s="113"/>
    </row>
    <row r="294" spans="1:13" s="12" customFormat="1" hidden="1" x14ac:dyDescent="0.25">
      <c r="A294" s="9" t="str">
        <f t="shared" si="63"/>
        <v/>
      </c>
      <c r="B294" s="10" t="s">
        <v>149</v>
      </c>
      <c r="C294" s="10"/>
      <c r="D294" s="95"/>
      <c r="E294" s="95"/>
      <c r="F294" s="95"/>
      <c r="G294" s="96"/>
      <c r="H294" s="122"/>
      <c r="I294" s="39"/>
      <c r="J294" s="16">
        <f t="shared" si="57"/>
        <v>0</v>
      </c>
      <c r="K294" s="16"/>
      <c r="L294" s="14"/>
      <c r="M294" s="14"/>
    </row>
    <row r="295" spans="1:13" s="19" customFormat="1" ht="39" hidden="1" x14ac:dyDescent="0.25">
      <c r="A295" s="68" t="str">
        <f t="shared" si="63"/>
        <v/>
      </c>
      <c r="B295" s="10" t="s">
        <v>148</v>
      </c>
      <c r="C295" s="10"/>
      <c r="D295" s="106" t="s">
        <v>16</v>
      </c>
      <c r="E295" s="106"/>
      <c r="F295" s="106"/>
      <c r="G295" s="107" t="s">
        <v>370</v>
      </c>
      <c r="H295" s="174"/>
      <c r="I295" s="90"/>
      <c r="J295" s="92">
        <f t="shared" si="57"/>
        <v>0</v>
      </c>
      <c r="K295" s="92">
        <f>+K296</f>
        <v>0</v>
      </c>
      <c r="L295" s="92">
        <f>+L296</f>
        <v>0</v>
      </c>
      <c r="M295" s="92">
        <f>+M296</f>
        <v>0</v>
      </c>
    </row>
    <row r="296" spans="1:13" s="19" customFormat="1" ht="39" hidden="1" x14ac:dyDescent="0.25">
      <c r="A296" s="68" t="str">
        <f t="shared" si="63"/>
        <v/>
      </c>
      <c r="B296" s="10" t="s">
        <v>148</v>
      </c>
      <c r="C296" s="10"/>
      <c r="D296" s="106" t="s">
        <v>17</v>
      </c>
      <c r="E296" s="106"/>
      <c r="F296" s="106"/>
      <c r="G296" s="107" t="s">
        <v>370</v>
      </c>
      <c r="H296" s="174"/>
      <c r="I296" s="90"/>
      <c r="J296" s="92">
        <f t="shared" si="57"/>
        <v>0</v>
      </c>
      <c r="K296" s="92">
        <f>SUM(K297)</f>
        <v>0</v>
      </c>
      <c r="L296" s="92">
        <f>SUM(L297)</f>
        <v>0</v>
      </c>
      <c r="M296" s="92">
        <f>SUM(M297)</f>
        <v>0</v>
      </c>
    </row>
    <row r="297" spans="1:13" s="12" customFormat="1" ht="60" hidden="1" customHeight="1" x14ac:dyDescent="0.25">
      <c r="A297" s="68" t="str">
        <f t="shared" si="63"/>
        <v/>
      </c>
      <c r="B297" s="10" t="s">
        <v>148</v>
      </c>
      <c r="C297" s="10"/>
      <c r="D297" s="118" t="s">
        <v>180</v>
      </c>
      <c r="E297" s="95" t="s">
        <v>76</v>
      </c>
      <c r="F297" s="95" t="s">
        <v>77</v>
      </c>
      <c r="G297" s="280" t="s">
        <v>78</v>
      </c>
      <c r="H297" s="168"/>
      <c r="I297" s="169"/>
      <c r="J297" s="170">
        <f t="shared" si="57"/>
        <v>0</v>
      </c>
      <c r="K297" s="171"/>
      <c r="L297" s="171"/>
      <c r="M297" s="171"/>
    </row>
    <row r="298" spans="1:13" s="26" customFormat="1" ht="6.75" hidden="1" customHeight="1" x14ac:dyDescent="0.3">
      <c r="A298" s="9" t="str">
        <f t="shared" si="63"/>
        <v/>
      </c>
      <c r="B298" s="31" t="s">
        <v>148</v>
      </c>
      <c r="C298" s="34"/>
      <c r="D298" s="331"/>
      <c r="E298" s="123"/>
      <c r="F298" s="124"/>
      <c r="G298" s="125" t="s">
        <v>10</v>
      </c>
      <c r="H298" s="187"/>
      <c r="I298" s="50"/>
      <c r="J298" s="54">
        <f t="shared" si="57"/>
        <v>0</v>
      </c>
      <c r="K298" s="13"/>
      <c r="L298" s="13"/>
      <c r="M298" s="13"/>
    </row>
    <row r="299" spans="1:13" s="105" customFormat="1" ht="39" x14ac:dyDescent="0.3">
      <c r="A299" s="68" t="str">
        <f t="shared" si="63"/>
        <v>п</v>
      </c>
      <c r="B299" s="69" t="s">
        <v>6</v>
      </c>
      <c r="C299" s="10"/>
      <c r="D299" s="131" t="s">
        <v>135</v>
      </c>
      <c r="E299" s="106"/>
      <c r="F299" s="106"/>
      <c r="G299" s="107" t="s">
        <v>371</v>
      </c>
      <c r="H299" s="89"/>
      <c r="I299" s="90"/>
      <c r="J299" s="91">
        <f t="shared" si="57"/>
        <v>694133</v>
      </c>
      <c r="K299" s="92">
        <f>+K300</f>
        <v>694133</v>
      </c>
      <c r="L299" s="92">
        <f>+L300</f>
        <v>0</v>
      </c>
      <c r="M299" s="92">
        <f>+M300</f>
        <v>0</v>
      </c>
    </row>
    <row r="300" spans="1:13" s="105" customFormat="1" ht="39" x14ac:dyDescent="0.3">
      <c r="A300" s="68" t="str">
        <f t="shared" si="63"/>
        <v>п</v>
      </c>
      <c r="B300" s="69" t="s">
        <v>6</v>
      </c>
      <c r="C300" s="10"/>
      <c r="D300" s="131" t="s">
        <v>136</v>
      </c>
      <c r="E300" s="106"/>
      <c r="F300" s="106"/>
      <c r="G300" s="107" t="s">
        <v>371</v>
      </c>
      <c r="H300" s="89"/>
      <c r="I300" s="90"/>
      <c r="J300" s="91">
        <f t="shared" si="57"/>
        <v>694133</v>
      </c>
      <c r="K300" s="92">
        <f>SUM(K301:K307)-K305</f>
        <v>694133</v>
      </c>
      <c r="L300" s="92">
        <f>SUM(L301:L307)-L305</f>
        <v>0</v>
      </c>
      <c r="M300" s="92">
        <f>SUM(M301:M307)-M305</f>
        <v>0</v>
      </c>
    </row>
    <row r="301" spans="1:13" s="104" customFormat="1" ht="19.5" hidden="1" customHeight="1" x14ac:dyDescent="0.3">
      <c r="A301" s="68" t="str">
        <f t="shared" si="63"/>
        <v/>
      </c>
      <c r="B301" s="69" t="s">
        <v>6</v>
      </c>
      <c r="C301" s="10"/>
      <c r="D301" s="118" t="s">
        <v>158</v>
      </c>
      <c r="E301" s="94" t="s">
        <v>159</v>
      </c>
      <c r="F301" s="95" t="s">
        <v>13</v>
      </c>
      <c r="G301" s="96" t="s">
        <v>160</v>
      </c>
      <c r="H301" s="135"/>
      <c r="I301" s="136"/>
      <c r="J301" s="137">
        <f t="shared" si="57"/>
        <v>0</v>
      </c>
      <c r="K301" s="138"/>
      <c r="L301" s="113"/>
      <c r="M301" s="113"/>
    </row>
    <row r="302" spans="1:13" s="104" customFormat="1" ht="19.5" customHeight="1" x14ac:dyDescent="0.3">
      <c r="A302" s="68" t="str">
        <f t="shared" si="63"/>
        <v>п</v>
      </c>
      <c r="B302" s="69" t="s">
        <v>6</v>
      </c>
      <c r="C302" s="10"/>
      <c r="D302" s="95" t="s">
        <v>164</v>
      </c>
      <c r="E302" s="95" t="s">
        <v>163</v>
      </c>
      <c r="F302" s="95" t="s">
        <v>13</v>
      </c>
      <c r="G302" s="96" t="s">
        <v>165</v>
      </c>
      <c r="H302" s="187"/>
      <c r="I302" s="127"/>
      <c r="J302" s="99">
        <f t="shared" si="57"/>
        <v>694133</v>
      </c>
      <c r="K302" s="100">
        <v>694133</v>
      </c>
      <c r="L302" s="113"/>
      <c r="M302" s="113"/>
    </row>
    <row r="303" spans="1:13" s="104" customFormat="1" ht="19.5" hidden="1" customHeight="1" x14ac:dyDescent="0.3">
      <c r="A303" s="68" t="str">
        <f t="shared" si="63"/>
        <v/>
      </c>
      <c r="B303" s="69" t="s">
        <v>6</v>
      </c>
      <c r="C303" s="69"/>
      <c r="D303" s="118" t="s">
        <v>115</v>
      </c>
      <c r="E303" s="95" t="s">
        <v>116</v>
      </c>
      <c r="F303" s="95" t="s">
        <v>85</v>
      </c>
      <c r="G303" s="96" t="s">
        <v>117</v>
      </c>
      <c r="H303" s="126"/>
      <c r="I303" s="127"/>
      <c r="J303" s="100">
        <f t="shared" si="57"/>
        <v>0</v>
      </c>
      <c r="K303" s="100"/>
      <c r="L303" s="113"/>
      <c r="M303" s="113"/>
    </row>
    <row r="304" spans="1:13" s="104" customFormat="1" ht="39.75" hidden="1" customHeight="1" x14ac:dyDescent="0.3">
      <c r="A304" s="68" t="str">
        <f t="shared" si="63"/>
        <v/>
      </c>
      <c r="B304" s="69" t="s">
        <v>6</v>
      </c>
      <c r="C304" s="10"/>
      <c r="D304" s="95" t="s">
        <v>197</v>
      </c>
      <c r="E304" s="95" t="s">
        <v>198</v>
      </c>
      <c r="F304" s="95" t="s">
        <v>199</v>
      </c>
      <c r="G304" s="96" t="s">
        <v>200</v>
      </c>
      <c r="H304" s="126"/>
      <c r="I304" s="127"/>
      <c r="J304" s="100">
        <f t="shared" si="57"/>
        <v>0</v>
      </c>
      <c r="K304" s="100"/>
      <c r="L304" s="113"/>
      <c r="M304" s="113"/>
    </row>
    <row r="305" spans="1:13" s="26" customFormat="1" ht="42" hidden="1" customHeight="1" x14ac:dyDescent="0.3">
      <c r="A305" s="68" t="str">
        <f>IF(J305=0,"","п")</f>
        <v/>
      </c>
      <c r="B305" s="69" t="s">
        <v>6</v>
      </c>
      <c r="C305" s="354"/>
      <c r="D305" s="331"/>
      <c r="E305" s="123"/>
      <c r="F305" s="124"/>
      <c r="G305" s="125" t="s">
        <v>10</v>
      </c>
      <c r="H305" s="187"/>
      <c r="I305" s="50"/>
      <c r="J305" s="128">
        <f>+K305+L305</f>
        <v>0</v>
      </c>
      <c r="K305" s="129"/>
      <c r="L305" s="13"/>
      <c r="M305" s="13"/>
    </row>
    <row r="306" spans="1:13" s="12" customFormat="1" ht="32.25" hidden="1" customHeight="1" x14ac:dyDescent="0.25">
      <c r="A306" s="9" t="str">
        <f>IF(J306=0,"","п")</f>
        <v/>
      </c>
      <c r="B306" s="69" t="s">
        <v>6</v>
      </c>
      <c r="C306" s="10"/>
      <c r="D306" s="95" t="s">
        <v>245</v>
      </c>
      <c r="E306" s="95" t="s">
        <v>246</v>
      </c>
      <c r="F306" s="95" t="s">
        <v>101</v>
      </c>
      <c r="G306" s="96" t="s">
        <v>247</v>
      </c>
      <c r="H306" s="126"/>
      <c r="I306" s="50"/>
      <c r="J306" s="100">
        <f>+K306+L306</f>
        <v>0</v>
      </c>
      <c r="K306" s="100"/>
      <c r="L306" s="113"/>
      <c r="M306" s="113"/>
    </row>
    <row r="307" spans="1:13" s="12" customFormat="1" ht="37.5" hidden="1" x14ac:dyDescent="0.25">
      <c r="A307" s="9" t="str">
        <f t="shared" si="63"/>
        <v/>
      </c>
      <c r="B307" s="69" t="s">
        <v>6</v>
      </c>
      <c r="C307" s="10"/>
      <c r="D307" s="118">
        <v>1015031</v>
      </c>
      <c r="E307" s="95" t="s">
        <v>32</v>
      </c>
      <c r="F307" s="95" t="s">
        <v>122</v>
      </c>
      <c r="G307" s="121" t="s">
        <v>137</v>
      </c>
      <c r="H307" s="126"/>
      <c r="I307" s="50"/>
      <c r="J307" s="100">
        <f t="shared" ref="J307:J341" si="64">+K307+L307</f>
        <v>0</v>
      </c>
      <c r="K307" s="100"/>
      <c r="L307" s="113"/>
      <c r="M307" s="113"/>
    </row>
    <row r="308" spans="1:13" s="105" customFormat="1" ht="58.5" x14ac:dyDescent="0.3">
      <c r="A308" s="68" t="str">
        <f t="shared" si="63"/>
        <v>п</v>
      </c>
      <c r="B308" s="69" t="s">
        <v>150</v>
      </c>
      <c r="C308" s="10"/>
      <c r="D308" s="131" t="s">
        <v>48</v>
      </c>
      <c r="E308" s="106"/>
      <c r="F308" s="106"/>
      <c r="G308" s="107" t="s">
        <v>373</v>
      </c>
      <c r="H308" s="89"/>
      <c r="I308" s="90"/>
      <c r="J308" s="91">
        <f t="shared" si="64"/>
        <v>37997857</v>
      </c>
      <c r="K308" s="92">
        <f>K309</f>
        <v>13928943</v>
      </c>
      <c r="L308" s="92">
        <f>L309</f>
        <v>24068914</v>
      </c>
      <c r="M308" s="92">
        <f>M309</f>
        <v>24068914</v>
      </c>
    </row>
    <row r="309" spans="1:13" s="105" customFormat="1" ht="58.5" x14ac:dyDescent="0.3">
      <c r="A309" s="68" t="str">
        <f t="shared" si="63"/>
        <v>п</v>
      </c>
      <c r="B309" s="69" t="s">
        <v>150</v>
      </c>
      <c r="C309" s="69"/>
      <c r="D309" s="131" t="s">
        <v>49</v>
      </c>
      <c r="E309" s="106"/>
      <c r="F309" s="106"/>
      <c r="G309" s="107" t="s">
        <v>373</v>
      </c>
      <c r="H309" s="108"/>
      <c r="I309" s="109"/>
      <c r="J309" s="110">
        <f>+K309+L309</f>
        <v>37997857</v>
      </c>
      <c r="K309" s="92">
        <f>SUM(K310:K336)-K331-K333-K328-K329-K335-K336</f>
        <v>13928943</v>
      </c>
      <c r="L309" s="92">
        <f>SUM(L310:L336)-L331-L333-L328-L329-L335-L336</f>
        <v>24068914</v>
      </c>
      <c r="M309" s="92">
        <f>SUM(M310:M336)-M331-M333-M328-M329-M335-M336</f>
        <v>24068914</v>
      </c>
    </row>
    <row r="310" spans="1:13" s="104" customFormat="1" ht="60.75" hidden="1" customHeight="1" x14ac:dyDescent="0.3">
      <c r="A310" s="68" t="str">
        <f t="shared" si="63"/>
        <v/>
      </c>
      <c r="B310" s="69" t="s">
        <v>150</v>
      </c>
      <c r="C310" s="351"/>
      <c r="D310" s="181" t="s">
        <v>75</v>
      </c>
      <c r="E310" s="181" t="s">
        <v>76</v>
      </c>
      <c r="F310" s="95" t="s">
        <v>77</v>
      </c>
      <c r="G310" s="280" t="s">
        <v>78</v>
      </c>
      <c r="H310" s="168"/>
      <c r="I310" s="169"/>
      <c r="J310" s="170">
        <f t="shared" si="64"/>
        <v>0</v>
      </c>
      <c r="K310" s="171"/>
      <c r="L310" s="171"/>
      <c r="M310" s="171"/>
    </row>
    <row r="311" spans="1:13" s="104" customFormat="1" ht="27" hidden="1" customHeight="1" x14ac:dyDescent="0.3">
      <c r="A311" s="68" t="str">
        <f t="shared" si="63"/>
        <v/>
      </c>
      <c r="B311" s="69" t="s">
        <v>150</v>
      </c>
      <c r="C311" s="69"/>
      <c r="D311" s="95" t="s">
        <v>65</v>
      </c>
      <c r="E311" s="95" t="s">
        <v>139</v>
      </c>
      <c r="F311" s="95" t="s">
        <v>127</v>
      </c>
      <c r="G311" s="96" t="s">
        <v>44</v>
      </c>
      <c r="H311" s="97"/>
      <c r="I311" s="98"/>
      <c r="J311" s="99">
        <f t="shared" si="64"/>
        <v>0</v>
      </c>
      <c r="K311" s="100"/>
      <c r="L311" s="113"/>
      <c r="M311" s="113"/>
    </row>
    <row r="312" spans="1:13" s="104" customFormat="1" ht="60.75" hidden="1" customHeight="1" x14ac:dyDescent="0.3">
      <c r="A312" s="68" t="str">
        <f>IF(J312=0,"","п")</f>
        <v/>
      </c>
      <c r="B312" s="69" t="s">
        <v>150</v>
      </c>
      <c r="C312" s="69"/>
      <c r="D312" s="118" t="s">
        <v>218</v>
      </c>
      <c r="E312" s="94" t="s">
        <v>210</v>
      </c>
      <c r="F312" s="95" t="s">
        <v>128</v>
      </c>
      <c r="G312" s="96" t="s">
        <v>277</v>
      </c>
      <c r="H312" s="97" t="s">
        <v>119</v>
      </c>
      <c r="I312" s="98"/>
      <c r="J312" s="171">
        <f t="shared" si="64"/>
        <v>0</v>
      </c>
      <c r="K312" s="171">
        <f>10000-10000</f>
        <v>0</v>
      </c>
      <c r="L312" s="171">
        <f>245000-245000</f>
        <v>0</v>
      </c>
      <c r="M312" s="171">
        <f>245000-245000</f>
        <v>0</v>
      </c>
    </row>
    <row r="313" spans="1:13" s="104" customFormat="1" ht="39.75" hidden="1" customHeight="1" x14ac:dyDescent="0.3">
      <c r="A313" s="68" t="str">
        <f t="shared" si="63"/>
        <v/>
      </c>
      <c r="B313" s="69" t="s">
        <v>150</v>
      </c>
      <c r="C313" s="372"/>
      <c r="D313" s="95" t="s">
        <v>66</v>
      </c>
      <c r="E313" s="95" t="s">
        <v>142</v>
      </c>
      <c r="F313" s="118" t="s">
        <v>131</v>
      </c>
      <c r="G313" s="280" t="s">
        <v>140</v>
      </c>
      <c r="H313" s="168"/>
      <c r="I313" s="169"/>
      <c r="J313" s="170">
        <f t="shared" si="64"/>
        <v>0</v>
      </c>
      <c r="K313" s="171"/>
      <c r="L313" s="171"/>
      <c r="M313" s="171"/>
    </row>
    <row r="314" spans="1:13" s="104" customFormat="1" ht="38.25" hidden="1" customHeight="1" x14ac:dyDescent="0.3">
      <c r="A314" s="68" t="str">
        <f t="shared" si="63"/>
        <v/>
      </c>
      <c r="B314" s="69" t="s">
        <v>150</v>
      </c>
      <c r="C314" s="372"/>
      <c r="D314" s="118">
        <v>1212111</v>
      </c>
      <c r="E314" s="94" t="s">
        <v>28</v>
      </c>
      <c r="F314" s="95" t="s">
        <v>71</v>
      </c>
      <c r="G314" s="96" t="s">
        <v>29</v>
      </c>
      <c r="H314" s="177"/>
      <c r="I314" s="169"/>
      <c r="J314" s="171">
        <f t="shared" si="64"/>
        <v>0</v>
      </c>
      <c r="K314" s="171"/>
      <c r="L314" s="171"/>
      <c r="M314" s="171"/>
    </row>
    <row r="315" spans="1:13" s="104" customFormat="1" ht="56.25" hidden="1" x14ac:dyDescent="0.3">
      <c r="A315" s="68" t="str">
        <f t="shared" si="63"/>
        <v/>
      </c>
      <c r="B315" s="69" t="s">
        <v>150</v>
      </c>
      <c r="C315" s="366"/>
      <c r="D315" s="95" t="s">
        <v>293</v>
      </c>
      <c r="E315" s="95" t="s">
        <v>198</v>
      </c>
      <c r="F315" s="95" t="s">
        <v>199</v>
      </c>
      <c r="G315" s="96" t="s">
        <v>200</v>
      </c>
      <c r="H315" s="122"/>
      <c r="I315" s="98"/>
      <c r="J315" s="100">
        <f t="shared" si="64"/>
        <v>0</v>
      </c>
      <c r="K315" s="100"/>
      <c r="L315" s="100"/>
      <c r="M315" s="100"/>
    </row>
    <row r="316" spans="1:13" s="104" customFormat="1" ht="19.5" hidden="1" customHeight="1" x14ac:dyDescent="0.3">
      <c r="A316" s="68" t="str">
        <f t="shared" si="63"/>
        <v/>
      </c>
      <c r="B316" s="69" t="s">
        <v>150</v>
      </c>
      <c r="C316" s="69"/>
      <c r="D316" s="95"/>
      <c r="E316" s="122"/>
      <c r="F316" s="95"/>
      <c r="G316" s="96"/>
      <c r="H316" s="177"/>
      <c r="I316" s="169"/>
      <c r="J316" s="171">
        <f t="shared" si="64"/>
        <v>0</v>
      </c>
      <c r="K316" s="171"/>
      <c r="L316" s="171">
        <f>1000000-1000000</f>
        <v>0</v>
      </c>
      <c r="M316" s="171">
        <f>1000000-1000000</f>
        <v>0</v>
      </c>
    </row>
    <row r="317" spans="1:13" s="104" customFormat="1" ht="37.5" hidden="1" customHeight="1" x14ac:dyDescent="0.3">
      <c r="A317" s="68" t="str">
        <f t="shared" si="63"/>
        <v/>
      </c>
      <c r="B317" s="69" t="s">
        <v>150</v>
      </c>
      <c r="C317" s="69"/>
      <c r="D317" s="95"/>
      <c r="E317" s="177"/>
      <c r="F317" s="181"/>
      <c r="G317" s="280"/>
      <c r="H317" s="271"/>
      <c r="I317" s="373"/>
      <c r="J317" s="171">
        <f t="shared" si="64"/>
        <v>0</v>
      </c>
      <c r="K317" s="171">
        <f>2398131-2398131</f>
        <v>0</v>
      </c>
      <c r="L317" s="171"/>
      <c r="M317" s="171"/>
    </row>
    <row r="318" spans="1:13" s="104" customFormat="1" ht="39.75" hidden="1" customHeight="1" x14ac:dyDescent="0.3">
      <c r="A318" s="68" t="str">
        <f t="shared" si="63"/>
        <v/>
      </c>
      <c r="B318" s="69" t="s">
        <v>150</v>
      </c>
      <c r="C318" s="351"/>
      <c r="D318" s="118">
        <v>1216017</v>
      </c>
      <c r="E318" s="94">
        <v>6017</v>
      </c>
      <c r="F318" s="95" t="s">
        <v>121</v>
      </c>
      <c r="G318" s="96" t="s">
        <v>106</v>
      </c>
      <c r="H318" s="177"/>
      <c r="I318" s="169"/>
      <c r="J318" s="171">
        <f t="shared" si="64"/>
        <v>0</v>
      </c>
      <c r="K318" s="171"/>
      <c r="L318" s="171"/>
      <c r="M318" s="171"/>
    </row>
    <row r="319" spans="1:13" s="104" customFormat="1" ht="52.5" hidden="1" customHeight="1" x14ac:dyDescent="0.3">
      <c r="A319" s="68"/>
      <c r="B319" s="69" t="s">
        <v>150</v>
      </c>
      <c r="C319" s="69"/>
      <c r="D319" s="181" t="s">
        <v>56</v>
      </c>
      <c r="E319" s="177" t="s">
        <v>57</v>
      </c>
      <c r="F319" s="95" t="s">
        <v>121</v>
      </c>
      <c r="G319" s="96" t="s">
        <v>58</v>
      </c>
      <c r="H319" s="168"/>
      <c r="I319" s="169"/>
      <c r="J319" s="170">
        <f t="shared" si="64"/>
        <v>0</v>
      </c>
      <c r="K319" s="171">
        <f>15000-15000</f>
        <v>0</v>
      </c>
      <c r="L319" s="171">
        <f>1450000-1450000</f>
        <v>0</v>
      </c>
      <c r="M319" s="171">
        <f>1450000-1450000</f>
        <v>0</v>
      </c>
    </row>
    <row r="320" spans="1:13" s="104" customFormat="1" ht="39.75" hidden="1" customHeight="1" x14ac:dyDescent="0.3">
      <c r="A320" s="68" t="str">
        <f>IF(J320=0,"","п")</f>
        <v/>
      </c>
      <c r="B320" s="69" t="s">
        <v>150</v>
      </c>
      <c r="C320" s="69"/>
      <c r="D320" s="95"/>
      <c r="E320" s="122"/>
      <c r="F320" s="95"/>
      <c r="G320" s="96"/>
      <c r="H320" s="97"/>
      <c r="I320" s="98"/>
      <c r="J320" s="99">
        <f t="shared" si="64"/>
        <v>0</v>
      </c>
      <c r="K320" s="100"/>
      <c r="L320" s="100"/>
      <c r="M320" s="100"/>
    </row>
    <row r="321" spans="1:13" s="104" customFormat="1" ht="39.75" hidden="1" customHeight="1" x14ac:dyDescent="0.3">
      <c r="A321" s="68" t="str">
        <f>IF(J321=0,"","п")</f>
        <v/>
      </c>
      <c r="B321" s="69" t="s">
        <v>150</v>
      </c>
      <c r="C321" s="69"/>
      <c r="D321" s="95" t="s">
        <v>50</v>
      </c>
      <c r="E321" s="122" t="s">
        <v>51</v>
      </c>
      <c r="F321" s="95" t="s">
        <v>121</v>
      </c>
      <c r="G321" s="96" t="s">
        <v>52</v>
      </c>
      <c r="H321" s="97"/>
      <c r="I321" s="98"/>
      <c r="J321" s="99">
        <f t="shared" si="64"/>
        <v>0</v>
      </c>
      <c r="K321" s="100"/>
      <c r="L321" s="100"/>
      <c r="M321" s="100"/>
    </row>
    <row r="322" spans="1:13" s="104" customFormat="1" ht="22.5" customHeight="1" x14ac:dyDescent="0.3">
      <c r="A322" s="68" t="str">
        <f t="shared" ref="A322" si="65">IF(J322=0,"","п")</f>
        <v>п</v>
      </c>
      <c r="B322" s="69" t="s">
        <v>150</v>
      </c>
      <c r="C322" s="366"/>
      <c r="D322" s="118" t="s">
        <v>251</v>
      </c>
      <c r="E322" s="94" t="s">
        <v>87</v>
      </c>
      <c r="F322" s="95" t="s">
        <v>88</v>
      </c>
      <c r="G322" s="96" t="s">
        <v>89</v>
      </c>
      <c r="H322" s="122"/>
      <c r="I322" s="98"/>
      <c r="J322" s="100">
        <f>+K322+L322</f>
        <v>68500</v>
      </c>
      <c r="K322" s="100">
        <v>68500</v>
      </c>
      <c r="L322" s="100"/>
      <c r="M322" s="100"/>
    </row>
    <row r="323" spans="1:13" s="104" customFormat="1" ht="37.5" x14ac:dyDescent="0.3">
      <c r="A323" s="68" t="str">
        <f t="shared" si="63"/>
        <v>п</v>
      </c>
      <c r="B323" s="69" t="s">
        <v>150</v>
      </c>
      <c r="C323" s="69"/>
      <c r="D323" s="181" t="s">
        <v>355</v>
      </c>
      <c r="E323" s="177" t="s">
        <v>356</v>
      </c>
      <c r="F323" s="95" t="s">
        <v>174</v>
      </c>
      <c r="G323" s="178" t="s">
        <v>357</v>
      </c>
      <c r="H323" s="168"/>
      <c r="I323" s="169"/>
      <c r="J323" s="170">
        <f>+K323+L323</f>
        <v>1593945</v>
      </c>
      <c r="K323" s="171"/>
      <c r="L323" s="100">
        <v>1593945</v>
      </c>
      <c r="M323" s="100">
        <v>1593945</v>
      </c>
    </row>
    <row r="324" spans="1:13" s="104" customFormat="1" hidden="1" x14ac:dyDescent="0.3">
      <c r="A324" s="68" t="str">
        <f t="shared" si="63"/>
        <v/>
      </c>
      <c r="B324" s="69" t="s">
        <v>150</v>
      </c>
      <c r="C324" s="69"/>
      <c r="D324" s="181" t="s">
        <v>152</v>
      </c>
      <c r="E324" s="177" t="s">
        <v>153</v>
      </c>
      <c r="F324" s="181" t="s">
        <v>124</v>
      </c>
      <c r="G324" s="188" t="s">
        <v>154</v>
      </c>
      <c r="H324" s="177"/>
      <c r="I324" s="169"/>
      <c r="J324" s="170">
        <f t="shared" si="64"/>
        <v>0</v>
      </c>
      <c r="K324" s="171"/>
      <c r="L324" s="171"/>
      <c r="M324" s="171"/>
    </row>
    <row r="325" spans="1:13" s="104" customFormat="1" ht="24" hidden="1" customHeight="1" x14ac:dyDescent="0.3">
      <c r="A325" s="68" t="str">
        <f t="shared" si="63"/>
        <v/>
      </c>
      <c r="B325" s="69" t="s">
        <v>150</v>
      </c>
      <c r="C325" s="69"/>
      <c r="D325" s="181">
        <v>1217322</v>
      </c>
      <c r="E325" s="177">
        <v>7322</v>
      </c>
      <c r="F325" s="181" t="s">
        <v>124</v>
      </c>
      <c r="G325" s="188" t="s">
        <v>74</v>
      </c>
      <c r="H325" s="168"/>
      <c r="I325" s="169"/>
      <c r="J325" s="170">
        <f t="shared" si="64"/>
        <v>0</v>
      </c>
      <c r="K325" s="171"/>
      <c r="L325" s="308"/>
      <c r="M325" s="308"/>
    </row>
    <row r="326" spans="1:13" s="104" customFormat="1" ht="37.5" hidden="1" x14ac:dyDescent="0.3">
      <c r="A326" s="68" t="str">
        <f>IF(J326=0,"","п")</f>
        <v/>
      </c>
      <c r="B326" s="69" t="s">
        <v>150</v>
      </c>
      <c r="C326" s="69"/>
      <c r="D326" s="181" t="s">
        <v>249</v>
      </c>
      <c r="E326" s="177">
        <v>7325</v>
      </c>
      <c r="F326" s="181" t="s">
        <v>124</v>
      </c>
      <c r="G326" s="188" t="s">
        <v>250</v>
      </c>
      <c r="H326" s="168"/>
      <c r="I326" s="169"/>
      <c r="J326" s="170">
        <f t="shared" si="64"/>
        <v>0</v>
      </c>
      <c r="K326" s="171"/>
      <c r="L326" s="308">
        <f>600000-600000</f>
        <v>0</v>
      </c>
      <c r="M326" s="308">
        <f>600000-600000</f>
        <v>0</v>
      </c>
    </row>
    <row r="327" spans="1:13" s="141" customFormat="1" ht="39.75" customHeight="1" x14ac:dyDescent="0.3">
      <c r="A327" s="68" t="str">
        <f t="shared" si="63"/>
        <v>п</v>
      </c>
      <c r="B327" s="120" t="s">
        <v>150</v>
      </c>
      <c r="C327" s="120"/>
      <c r="D327" s="181" t="s">
        <v>177</v>
      </c>
      <c r="E327" s="177" t="s">
        <v>178</v>
      </c>
      <c r="F327" s="181" t="s">
        <v>174</v>
      </c>
      <c r="G327" s="188" t="s">
        <v>179</v>
      </c>
      <c r="H327" s="168"/>
      <c r="I327" s="169"/>
      <c r="J327" s="170">
        <f t="shared" si="64"/>
        <v>16293505</v>
      </c>
      <c r="K327" s="171"/>
      <c r="L327" s="171">
        <f>4603668+16090701-4603668+64080+138724</f>
        <v>16293505</v>
      </c>
      <c r="M327" s="171">
        <f>4603668+16090701-4603668+64080+138724</f>
        <v>16293505</v>
      </c>
    </row>
    <row r="328" spans="1:13" s="104" customFormat="1" ht="42.75" hidden="1" customHeight="1" x14ac:dyDescent="0.3">
      <c r="A328" s="68" t="str">
        <f>IF(J328=0,"","п")</f>
        <v/>
      </c>
      <c r="B328" s="69" t="s">
        <v>150</v>
      </c>
      <c r="C328" s="69"/>
      <c r="D328" s="190"/>
      <c r="E328" s="189"/>
      <c r="F328" s="190"/>
      <c r="G328" s="125" t="s">
        <v>118</v>
      </c>
      <c r="H328" s="191"/>
      <c r="I328" s="192"/>
      <c r="J328" s="193">
        <f t="shared" si="64"/>
        <v>0</v>
      </c>
      <c r="K328" s="194"/>
      <c r="L328" s="194"/>
      <c r="M328" s="194"/>
    </row>
    <row r="329" spans="1:13" s="141" customFormat="1" ht="27" hidden="1" customHeight="1" x14ac:dyDescent="0.3">
      <c r="A329" s="119" t="str">
        <f t="shared" ref="A329" si="66">IF(J329=0,"","п")</f>
        <v/>
      </c>
      <c r="B329" s="120" t="s">
        <v>150</v>
      </c>
      <c r="C329" s="120"/>
      <c r="D329" s="190"/>
      <c r="E329" s="189"/>
      <c r="F329" s="190"/>
      <c r="G329" s="348" t="s">
        <v>244</v>
      </c>
      <c r="H329" s="187"/>
      <c r="I329" s="192"/>
      <c r="J329" s="193">
        <f t="shared" ref="J329" si="67">+K329+L329</f>
        <v>0</v>
      </c>
      <c r="K329" s="194"/>
      <c r="L329" s="194">
        <f>4603668-4603668</f>
        <v>0</v>
      </c>
      <c r="M329" s="194">
        <f>4603668-4603668</f>
        <v>0</v>
      </c>
    </row>
    <row r="330" spans="1:13" s="104" customFormat="1" ht="29.25" customHeight="1" x14ac:dyDescent="0.3">
      <c r="A330" s="68" t="str">
        <f t="shared" si="63"/>
        <v>п</v>
      </c>
      <c r="B330" s="69" t="s">
        <v>150</v>
      </c>
      <c r="C330" s="69"/>
      <c r="D330" s="181" t="s">
        <v>313</v>
      </c>
      <c r="E330" s="177">
        <v>7330</v>
      </c>
      <c r="F330" s="181" t="s">
        <v>124</v>
      </c>
      <c r="G330" s="280" t="s">
        <v>379</v>
      </c>
      <c r="I330" s="122"/>
      <c r="J330" s="170">
        <f t="shared" si="64"/>
        <v>2995264</v>
      </c>
      <c r="K330" s="179"/>
      <c r="L330" s="171">
        <f>1498000+1497264</f>
        <v>2995264</v>
      </c>
      <c r="M330" s="171">
        <f>1498000+1497264</f>
        <v>2995264</v>
      </c>
    </row>
    <row r="331" spans="1:13" s="104" customFormat="1" ht="41.25" hidden="1" customHeight="1" x14ac:dyDescent="0.3">
      <c r="A331" s="68" t="str">
        <f t="shared" si="63"/>
        <v/>
      </c>
      <c r="B331" s="69" t="s">
        <v>150</v>
      </c>
      <c r="C331" s="69"/>
      <c r="D331" s="190"/>
      <c r="E331" s="189"/>
      <c r="F331" s="190"/>
      <c r="G331" s="125" t="s">
        <v>176</v>
      </c>
      <c r="H331" s="390"/>
      <c r="I331" s="192"/>
      <c r="J331" s="170">
        <f t="shared" si="64"/>
        <v>0</v>
      </c>
      <c r="K331" s="194"/>
      <c r="L331" s="194"/>
      <c r="M331" s="194"/>
    </row>
    <row r="332" spans="1:13" s="104" customFormat="1" ht="38.25" hidden="1" customHeight="1" x14ac:dyDescent="0.3">
      <c r="A332" s="68" t="str">
        <f t="shared" si="63"/>
        <v/>
      </c>
      <c r="B332" s="69" t="s">
        <v>150</v>
      </c>
      <c r="C332" s="69"/>
      <c r="D332" s="181" t="s">
        <v>269</v>
      </c>
      <c r="E332" s="177">
        <v>7693</v>
      </c>
      <c r="F332" s="181" t="s">
        <v>123</v>
      </c>
      <c r="G332" s="280" t="s">
        <v>270</v>
      </c>
      <c r="H332" s="168"/>
      <c r="I332" s="169"/>
      <c r="J332" s="170">
        <f t="shared" si="64"/>
        <v>0</v>
      </c>
      <c r="K332" s="171">
        <f>97000-97000</f>
        <v>0</v>
      </c>
      <c r="L332" s="171"/>
      <c r="M332" s="171"/>
    </row>
    <row r="333" spans="1:13" s="104" customFormat="1" ht="41.25" hidden="1" customHeight="1" x14ac:dyDescent="0.3">
      <c r="A333" s="68" t="str">
        <f t="shared" si="63"/>
        <v/>
      </c>
      <c r="B333" s="69" t="s">
        <v>150</v>
      </c>
      <c r="C333" s="69"/>
      <c r="D333" s="190"/>
      <c r="E333" s="189"/>
      <c r="F333" s="190"/>
      <c r="G333" s="125" t="s">
        <v>176</v>
      </c>
      <c r="H333" s="191"/>
      <c r="I333" s="192"/>
      <c r="J333" s="193">
        <f t="shared" si="64"/>
        <v>0</v>
      </c>
      <c r="K333" s="194"/>
      <c r="L333" s="194">
        <f>4316635+863327-5179962</f>
        <v>0</v>
      </c>
      <c r="M333" s="194">
        <f>4316635+863327-5179962</f>
        <v>0</v>
      </c>
    </row>
    <row r="334" spans="1:13" s="104" customFormat="1" ht="62.25" customHeight="1" x14ac:dyDescent="0.3">
      <c r="A334" s="68" t="str">
        <f t="shared" si="63"/>
        <v>п</v>
      </c>
      <c r="B334" s="69" t="s">
        <v>150</v>
      </c>
      <c r="C334" s="69"/>
      <c r="D334" s="95" t="s">
        <v>166</v>
      </c>
      <c r="E334" s="122">
        <v>7461</v>
      </c>
      <c r="F334" s="95" t="s">
        <v>125</v>
      </c>
      <c r="G334" s="178" t="s">
        <v>167</v>
      </c>
      <c r="H334" s="97"/>
      <c r="I334" s="169"/>
      <c r="J334" s="170">
        <f t="shared" si="64"/>
        <v>17046643</v>
      </c>
      <c r="K334" s="171">
        <f>9605443+4255000</f>
        <v>13860443</v>
      </c>
      <c r="L334" s="171">
        <f>21964110+3186200-21964110</f>
        <v>3186200</v>
      </c>
      <c r="M334" s="171">
        <f>21964110+3186200-21964110</f>
        <v>3186200</v>
      </c>
    </row>
    <row r="335" spans="1:13" s="104" customFormat="1" ht="39.75" hidden="1" customHeight="1" x14ac:dyDescent="0.3">
      <c r="A335" s="68" t="str">
        <f t="shared" ref="A335" si="68">IF(J335=0,"","п")</f>
        <v/>
      </c>
      <c r="B335" s="69" t="s">
        <v>150</v>
      </c>
      <c r="C335" s="69"/>
      <c r="D335" s="181"/>
      <c r="E335" s="177"/>
      <c r="F335" s="181"/>
      <c r="G335" s="125" t="s">
        <v>300</v>
      </c>
      <c r="H335" s="97"/>
      <c r="I335" s="169"/>
      <c r="J335" s="193">
        <f t="shared" si="64"/>
        <v>0</v>
      </c>
      <c r="K335" s="194"/>
      <c r="L335" s="194"/>
      <c r="M335" s="194"/>
    </row>
    <row r="336" spans="1:13" s="141" customFormat="1" ht="27" hidden="1" customHeight="1" x14ac:dyDescent="0.3">
      <c r="A336" s="119" t="str">
        <f t="shared" si="63"/>
        <v/>
      </c>
      <c r="B336" s="120" t="s">
        <v>150</v>
      </c>
      <c r="C336" s="120"/>
      <c r="D336" s="190"/>
      <c r="E336" s="189"/>
      <c r="F336" s="190"/>
      <c r="G336" s="348" t="s">
        <v>244</v>
      </c>
      <c r="H336" s="187"/>
      <c r="I336" s="192"/>
      <c r="J336" s="193">
        <f t="shared" si="64"/>
        <v>0</v>
      </c>
      <c r="K336" s="194"/>
      <c r="L336" s="194">
        <f>21964110-21964110</f>
        <v>0</v>
      </c>
      <c r="M336" s="194">
        <f>21964110-21964110</f>
        <v>0</v>
      </c>
    </row>
    <row r="337" spans="1:13" s="141" customFormat="1" ht="45" customHeight="1" x14ac:dyDescent="0.3">
      <c r="A337" s="119" t="str">
        <f t="shared" si="63"/>
        <v>п</v>
      </c>
      <c r="B337" s="120" t="s">
        <v>319</v>
      </c>
      <c r="C337" s="120"/>
      <c r="D337" s="131" t="s">
        <v>317</v>
      </c>
      <c r="E337" s="189"/>
      <c r="F337" s="190"/>
      <c r="G337" s="107" t="s">
        <v>376</v>
      </c>
      <c r="H337" s="187"/>
      <c r="I337" s="192"/>
      <c r="J337" s="92">
        <f t="shared" si="64"/>
        <v>200000</v>
      </c>
      <c r="K337" s="92">
        <f>+K338</f>
        <v>200000</v>
      </c>
      <c r="L337" s="92">
        <f>+L338</f>
        <v>0</v>
      </c>
      <c r="M337" s="92">
        <f>+M338</f>
        <v>0</v>
      </c>
    </row>
    <row r="338" spans="1:13" s="141" customFormat="1" ht="45" customHeight="1" x14ac:dyDescent="0.3">
      <c r="A338" s="119" t="str">
        <f t="shared" si="63"/>
        <v>п</v>
      </c>
      <c r="B338" s="120" t="s">
        <v>319</v>
      </c>
      <c r="C338" s="120"/>
      <c r="D338" s="131" t="s">
        <v>318</v>
      </c>
      <c r="E338" s="189"/>
      <c r="F338" s="190"/>
      <c r="G338" s="107" t="s">
        <v>376</v>
      </c>
      <c r="H338" s="187"/>
      <c r="I338" s="192"/>
      <c r="J338" s="92">
        <f>+K338+L338</f>
        <v>200000</v>
      </c>
      <c r="K338" s="92">
        <f>SUM(K339:K340)</f>
        <v>200000</v>
      </c>
      <c r="L338" s="92">
        <f t="shared" ref="L338" si="69">SUM(L339:L340)</f>
        <v>0</v>
      </c>
      <c r="M338" s="92">
        <f>SUM(M339:M340)</f>
        <v>0</v>
      </c>
    </row>
    <row r="339" spans="1:13" s="141" customFormat="1" ht="67.5" hidden="1" customHeight="1" x14ac:dyDescent="0.3">
      <c r="A339" s="119" t="str">
        <f t="shared" si="63"/>
        <v/>
      </c>
      <c r="B339" s="120" t="s">
        <v>319</v>
      </c>
      <c r="C339" s="120"/>
      <c r="D339" s="118" t="s">
        <v>322</v>
      </c>
      <c r="E339" s="95" t="s">
        <v>76</v>
      </c>
      <c r="F339" s="95" t="s">
        <v>77</v>
      </c>
      <c r="G339" s="280" t="s">
        <v>323</v>
      </c>
      <c r="H339" s="187"/>
      <c r="I339" s="192"/>
      <c r="J339" s="92">
        <f>+K339+L339</f>
        <v>0</v>
      </c>
      <c r="K339" s="194"/>
      <c r="L339" s="194"/>
      <c r="M339" s="194"/>
    </row>
    <row r="340" spans="1:13" s="141" customFormat="1" ht="39" customHeight="1" thickBot="1" x14ac:dyDescent="0.35">
      <c r="A340" s="119" t="str">
        <f t="shared" si="63"/>
        <v>п</v>
      </c>
      <c r="B340" s="120"/>
      <c r="C340" s="120"/>
      <c r="D340" s="262" t="s">
        <v>339</v>
      </c>
      <c r="E340" s="181">
        <v>6017</v>
      </c>
      <c r="F340" s="181" t="s">
        <v>121</v>
      </c>
      <c r="G340" s="280" t="s">
        <v>106</v>
      </c>
      <c r="H340" s="187"/>
      <c r="I340" s="192"/>
      <c r="J340" s="129">
        <f t="shared" si="64"/>
        <v>200000</v>
      </c>
      <c r="K340" s="194">
        <v>200000</v>
      </c>
      <c r="L340" s="194"/>
      <c r="M340" s="194"/>
    </row>
    <row r="341" spans="1:13" s="105" customFormat="1" ht="26.25" hidden="1" customHeight="1" x14ac:dyDescent="0.35">
      <c r="A341" s="68" t="str">
        <f t="shared" si="63"/>
        <v/>
      </c>
      <c r="B341" s="69" t="s">
        <v>151</v>
      </c>
      <c r="C341" s="69"/>
      <c r="D341" s="106" t="s">
        <v>190</v>
      </c>
      <c r="E341" s="106"/>
      <c r="F341" s="106"/>
      <c r="G341" s="107" t="s">
        <v>375</v>
      </c>
      <c r="H341" s="174"/>
      <c r="I341" s="90"/>
      <c r="J341" s="92">
        <f t="shared" si="64"/>
        <v>0</v>
      </c>
      <c r="K341" s="92">
        <f>+K342</f>
        <v>0</v>
      </c>
      <c r="L341" s="92">
        <f>+L342</f>
        <v>0</v>
      </c>
      <c r="M341" s="92">
        <f>+M342</f>
        <v>0</v>
      </c>
    </row>
    <row r="342" spans="1:13" s="105" customFormat="1" ht="26.25" hidden="1" customHeight="1" x14ac:dyDescent="0.35">
      <c r="A342" s="68" t="str">
        <f t="shared" si="63"/>
        <v/>
      </c>
      <c r="B342" s="69" t="s">
        <v>151</v>
      </c>
      <c r="C342" s="69"/>
      <c r="D342" s="106" t="s">
        <v>191</v>
      </c>
      <c r="E342" s="106"/>
      <c r="F342" s="106"/>
      <c r="G342" s="107" t="s">
        <v>375</v>
      </c>
      <c r="H342" s="174"/>
      <c r="I342" s="90"/>
      <c r="J342" s="92">
        <f>+K342+L342</f>
        <v>0</v>
      </c>
      <c r="K342" s="92">
        <f>SUM(K343)</f>
        <v>0</v>
      </c>
      <c r="L342" s="92">
        <f>SUM(L343)</f>
        <v>0</v>
      </c>
      <c r="M342" s="92">
        <f>SUM(M343)</f>
        <v>0</v>
      </c>
    </row>
    <row r="343" spans="1:13" s="104" customFormat="1" ht="57.75" hidden="1" customHeight="1" x14ac:dyDescent="0.35">
      <c r="A343" s="68" t="str">
        <f t="shared" si="63"/>
        <v/>
      </c>
      <c r="B343" s="69" t="s">
        <v>151</v>
      </c>
      <c r="C343" s="69"/>
      <c r="D343" s="118" t="s">
        <v>192</v>
      </c>
      <c r="E343" s="95" t="s">
        <v>76</v>
      </c>
      <c r="F343" s="95" t="s">
        <v>77</v>
      </c>
      <c r="G343" s="280" t="s">
        <v>78</v>
      </c>
      <c r="H343" s="168"/>
      <c r="I343" s="169"/>
      <c r="J343" s="170">
        <f>+K343+L343</f>
        <v>0</v>
      </c>
      <c r="K343" s="171"/>
      <c r="L343" s="171"/>
      <c r="M343" s="171"/>
    </row>
    <row r="344" spans="1:13" s="141" customFormat="1" ht="20.25" hidden="1" customHeight="1" thickBot="1" x14ac:dyDescent="0.35">
      <c r="A344" s="68" t="str">
        <f t="shared" si="63"/>
        <v/>
      </c>
      <c r="B344" s="120" t="s">
        <v>151</v>
      </c>
      <c r="C344" s="354"/>
      <c r="D344" s="331"/>
      <c r="E344" s="123"/>
      <c r="F344" s="124"/>
      <c r="G344" s="125" t="s">
        <v>10</v>
      </c>
      <c r="H344" s="187"/>
      <c r="I344" s="127"/>
      <c r="J344" s="128">
        <f>+K344+L344</f>
        <v>0</v>
      </c>
      <c r="K344" s="129"/>
      <c r="L344" s="129"/>
      <c r="M344" s="129"/>
    </row>
    <row r="345" spans="1:13" s="205" customFormat="1" ht="30" customHeight="1" thickBot="1" x14ac:dyDescent="0.35">
      <c r="A345" s="68" t="str">
        <f t="shared" si="63"/>
        <v>п</v>
      </c>
      <c r="B345" s="69" t="s">
        <v>5</v>
      </c>
      <c r="C345" s="10"/>
      <c r="D345" s="457" t="s">
        <v>2</v>
      </c>
      <c r="E345" s="458"/>
      <c r="F345" s="458"/>
      <c r="G345" s="459"/>
      <c r="H345" s="196"/>
      <c r="I345" s="197"/>
      <c r="J345" s="198">
        <f>+K345+L345</f>
        <v>300329604</v>
      </c>
      <c r="K345" s="198">
        <f>+K8+K26+K35+K43+K47+K56+K70+K83+K91+K125+K149+K153+K157+K165+K179+K209+K214+K218+K225+K229+K233+K237+K243+K247+K251+K258+K39+K144+K161+K175</f>
        <v>232196339</v>
      </c>
      <c r="L345" s="198">
        <f>+L8+L26+L35+L43+L47+L56+L70+L83+L91+L125+L149+L153+L157+L165+L179+L209+L214+L218+L225+L229+L233+L237+L243+L247+L251+L258+L39+L144+L161+L175</f>
        <v>68133265</v>
      </c>
      <c r="M345" s="198">
        <f>+M8+M26+M35+M43+M47+M56+M70+M83+M91+M125+M149+M153+M157+M165+M179+M209+M214+M218+M225+M229+M233+M237+M243+M247+M251+M258+M39+M144+M161+M175</f>
        <v>66599765</v>
      </c>
    </row>
    <row r="346" spans="1:13" s="203" customFormat="1" ht="36.75" customHeight="1" x14ac:dyDescent="0.25">
      <c r="A346" s="68" t="s">
        <v>5</v>
      </c>
      <c r="B346" s="69"/>
      <c r="C346" s="1"/>
      <c r="D346" s="334"/>
      <c r="E346" s="199"/>
      <c r="F346" s="199"/>
      <c r="G346" s="377"/>
      <c r="H346" s="201"/>
      <c r="I346" s="202"/>
      <c r="J346" s="201"/>
      <c r="M346" s="204"/>
    </row>
    <row r="347" spans="1:13" s="2" customFormat="1" ht="55.5" hidden="1" customHeight="1" x14ac:dyDescent="0.25">
      <c r="B347" s="1"/>
      <c r="C347" s="1"/>
      <c r="D347" s="334"/>
      <c r="E347" s="199"/>
      <c r="F347" s="199"/>
      <c r="G347" s="200"/>
      <c r="H347" s="201"/>
      <c r="I347" s="61"/>
      <c r="J347" s="37"/>
      <c r="M347" s="3"/>
    </row>
    <row r="348" spans="1:13" s="258" customFormat="1" ht="42.75" customHeight="1" x14ac:dyDescent="0.35">
      <c r="A348" s="68" t="s">
        <v>5</v>
      </c>
      <c r="B348" s="353"/>
      <c r="C348" s="1"/>
      <c r="D348" s="334"/>
      <c r="E348" s="422" t="s">
        <v>365</v>
      </c>
      <c r="F348" s="423"/>
      <c r="G348" s="424"/>
      <c r="H348" s="422"/>
      <c r="I348" s="425"/>
      <c r="J348" s="424"/>
      <c r="K348" s="425"/>
      <c r="L348" s="423" t="s">
        <v>366</v>
      </c>
      <c r="M348" s="257"/>
    </row>
    <row r="349" spans="1:13" s="19" customFormat="1" ht="41.25" hidden="1" customHeight="1" x14ac:dyDescent="0.3">
      <c r="B349" s="10"/>
      <c r="C349" s="10"/>
      <c r="D349" s="335"/>
      <c r="E349" s="447" t="s">
        <v>304</v>
      </c>
      <c r="F349" s="447"/>
      <c r="G349" s="447"/>
      <c r="H349" s="421"/>
      <c r="I349" s="421"/>
      <c r="J349" s="446" t="s">
        <v>305</v>
      </c>
      <c r="K349" s="446"/>
      <c r="L349" s="420"/>
      <c r="M349" s="420"/>
    </row>
    <row r="350" spans="1:13" s="19" customFormat="1" ht="36.75" hidden="1" customHeight="1" x14ac:dyDescent="0.3">
      <c r="A350" s="19" t="str">
        <f t="shared" ref="A350" si="70">IF(J350=0,"","п")</f>
        <v/>
      </c>
      <c r="B350" s="10"/>
      <c r="C350" s="10"/>
      <c r="D350" s="335"/>
      <c r="E350" s="104" t="s">
        <v>228</v>
      </c>
      <c r="F350" s="104"/>
      <c r="G350" s="310"/>
      <c r="H350" s="311"/>
      <c r="I350" s="312"/>
      <c r="J350" s="311"/>
      <c r="K350" s="311"/>
      <c r="L350" s="309" t="s">
        <v>229</v>
      </c>
      <c r="M350" s="311"/>
    </row>
    <row r="351" spans="1:13" s="19" customFormat="1" ht="45" hidden="1" customHeight="1" x14ac:dyDescent="0.3">
      <c r="B351" s="10"/>
      <c r="C351" s="10"/>
      <c r="D351" s="335"/>
      <c r="E351" s="321"/>
      <c r="F351" s="105"/>
      <c r="G351" s="319"/>
      <c r="H351" s="272"/>
      <c r="I351" s="59"/>
      <c r="J351" s="38"/>
      <c r="L351" s="36"/>
      <c r="M351" s="36"/>
    </row>
    <row r="352" spans="1:13" s="203" customFormat="1" ht="27.75" customHeight="1" x14ac:dyDescent="0.25">
      <c r="A352" s="195"/>
      <c r="B352" s="69"/>
      <c r="C352" s="6"/>
      <c r="D352" s="336"/>
      <c r="G352" s="210"/>
      <c r="H352" s="211"/>
      <c r="I352" s="202"/>
      <c r="J352" s="211"/>
      <c r="K352" s="212"/>
      <c r="L352" s="212"/>
      <c r="M352" s="212"/>
    </row>
    <row r="353" spans="1:13" s="213" customFormat="1" ht="15.75" hidden="1" x14ac:dyDescent="0.25">
      <c r="A353" s="206"/>
      <c r="B353" s="206"/>
      <c r="C353" s="23"/>
      <c r="D353" s="337"/>
      <c r="G353" s="214" t="s">
        <v>9</v>
      </c>
      <c r="H353" s="215"/>
      <c r="I353" s="216"/>
      <c r="J353" s="217">
        <v>118274701</v>
      </c>
      <c r="K353" s="218">
        <v>81528252</v>
      </c>
      <c r="L353" s="218">
        <v>36746449</v>
      </c>
      <c r="M353" s="218">
        <v>36626449</v>
      </c>
    </row>
    <row r="354" spans="1:13" s="203" customFormat="1" ht="15.75" hidden="1" x14ac:dyDescent="0.25">
      <c r="A354" s="195"/>
      <c r="B354" s="195"/>
      <c r="C354" s="7"/>
      <c r="D354" s="336"/>
      <c r="G354" s="210"/>
      <c r="H354" s="211"/>
      <c r="I354" s="202"/>
      <c r="J354" s="211"/>
      <c r="K354" s="212"/>
      <c r="L354" s="204"/>
      <c r="M354" s="212"/>
    </row>
    <row r="355" spans="1:13" s="219" customFormat="1" ht="15.75" hidden="1" x14ac:dyDescent="0.25">
      <c r="A355" s="207"/>
      <c r="B355" s="207"/>
      <c r="C355" s="22"/>
      <c r="D355" s="338"/>
      <c r="G355" s="220" t="s">
        <v>4</v>
      </c>
      <c r="H355" s="221"/>
      <c r="I355" s="222"/>
      <c r="J355" s="223">
        <f>+J345-J353</f>
        <v>182054903</v>
      </c>
      <c r="K355" s="223">
        <f>+K345-K353</f>
        <v>150668087</v>
      </c>
      <c r="L355" s="223">
        <f>+L345-L353</f>
        <v>31386816</v>
      </c>
      <c r="M355" s="223">
        <f>+M345-M353</f>
        <v>29973316</v>
      </c>
    </row>
    <row r="356" spans="1:13" s="203" customFormat="1" ht="15.75" hidden="1" x14ac:dyDescent="0.25">
      <c r="A356" s="208"/>
      <c r="B356" s="208"/>
      <c r="C356" s="8"/>
      <c r="D356" s="336"/>
      <c r="G356" s="200"/>
      <c r="H356" s="211"/>
      <c r="I356" s="202"/>
      <c r="J356" s="204"/>
      <c r="K356" s="204"/>
      <c r="L356" s="204"/>
    </row>
    <row r="357" spans="1:13" s="224" customFormat="1" ht="15.75" hidden="1" x14ac:dyDescent="0.25">
      <c r="A357" s="209"/>
      <c r="B357" s="209"/>
      <c r="C357" s="8"/>
      <c r="D357" s="339"/>
      <c r="G357" s="225"/>
      <c r="H357" s="226" t="s">
        <v>146</v>
      </c>
      <c r="I357" s="227"/>
      <c r="J357" s="228">
        <f>J355-J358</f>
        <v>179130445</v>
      </c>
      <c r="K357" s="228">
        <f>K355-K358</f>
        <v>150442629</v>
      </c>
      <c r="L357" s="228">
        <f>L355-L358</f>
        <v>28687816</v>
      </c>
      <c r="M357" s="228">
        <f>M355-M358</f>
        <v>27274316</v>
      </c>
    </row>
    <row r="358" spans="1:13" s="203" customFormat="1" ht="15.75" hidden="1" x14ac:dyDescent="0.25">
      <c r="A358" s="208"/>
      <c r="B358" s="208"/>
      <c r="C358" s="8"/>
      <c r="D358" s="336"/>
      <c r="G358" s="200"/>
      <c r="H358" s="229" t="s">
        <v>11</v>
      </c>
      <c r="I358" s="230"/>
      <c r="J358" s="231">
        <f>K358+L358</f>
        <v>2924458</v>
      </c>
      <c r="K358" s="232">
        <f>SUM(K359:K391)</f>
        <v>225458</v>
      </c>
      <c r="L358" s="232">
        <f>SUM(L359:L391)</f>
        <v>2699000</v>
      </c>
      <c r="M358" s="232">
        <f>SUM(M359:M391)</f>
        <v>2699000</v>
      </c>
    </row>
    <row r="359" spans="1:13" s="203" customFormat="1" ht="15.75" hidden="1" x14ac:dyDescent="0.25">
      <c r="A359" s="208"/>
      <c r="B359" s="208"/>
      <c r="C359" s="8"/>
      <c r="D359" s="336"/>
      <c r="G359" s="200"/>
      <c r="H359" s="211"/>
      <c r="I359" s="233"/>
      <c r="J359" s="231">
        <f t="shared" ref="J359:J390" si="71">K359+L359</f>
        <v>1470124</v>
      </c>
      <c r="K359" s="234">
        <v>20124</v>
      </c>
      <c r="L359" s="234">
        <v>1450000</v>
      </c>
      <c r="M359" s="234">
        <v>1450000</v>
      </c>
    </row>
    <row r="360" spans="1:13" s="203" customFormat="1" ht="15.75" hidden="1" x14ac:dyDescent="0.25">
      <c r="A360" s="208"/>
      <c r="B360" s="208"/>
      <c r="C360" s="8"/>
      <c r="D360" s="336"/>
      <c r="G360" s="200"/>
      <c r="H360" s="211"/>
      <c r="I360" s="235"/>
      <c r="J360" s="231">
        <f t="shared" si="71"/>
        <v>194334</v>
      </c>
      <c r="K360" s="234">
        <v>145334</v>
      </c>
      <c r="L360" s="234">
        <v>49000</v>
      </c>
      <c r="M360" s="234">
        <v>49000</v>
      </c>
    </row>
    <row r="361" spans="1:13" s="203" customFormat="1" ht="15.75" hidden="1" x14ac:dyDescent="0.25">
      <c r="A361" s="208"/>
      <c r="B361" s="208"/>
      <c r="C361" s="8"/>
      <c r="D361" s="336"/>
      <c r="G361" s="236"/>
      <c r="H361" s="237">
        <v>168264331.63</v>
      </c>
      <c r="I361" s="235"/>
      <c r="J361" s="231">
        <f t="shared" si="71"/>
        <v>60000</v>
      </c>
      <c r="K361" s="234">
        <v>60000</v>
      </c>
      <c r="L361" s="234"/>
      <c r="M361" s="234"/>
    </row>
    <row r="362" spans="1:13" s="203" customFormat="1" ht="15.75" hidden="1" x14ac:dyDescent="0.25">
      <c r="A362" s="208"/>
      <c r="B362" s="208"/>
      <c r="C362" s="8"/>
      <c r="D362" s="336"/>
      <c r="G362" s="236"/>
      <c r="H362" s="237"/>
      <c r="I362" s="235"/>
      <c r="J362" s="231">
        <f t="shared" si="71"/>
        <v>1200000</v>
      </c>
      <c r="K362" s="234"/>
      <c r="L362" s="234">
        <v>1200000</v>
      </c>
      <c r="M362" s="234">
        <v>1200000</v>
      </c>
    </row>
    <row r="363" spans="1:13" s="203" customFormat="1" ht="15.75" hidden="1" x14ac:dyDescent="0.25">
      <c r="A363" s="208"/>
      <c r="B363" s="208"/>
      <c r="C363" s="8"/>
      <c r="D363" s="336"/>
      <c r="G363" s="430" t="s">
        <v>225</v>
      </c>
      <c r="H363" s="449">
        <f>+L345-L214-M345</f>
        <v>1149500</v>
      </c>
      <c r="I363" s="235"/>
      <c r="J363" s="238">
        <f t="shared" si="71"/>
        <v>0</v>
      </c>
      <c r="K363" s="234"/>
      <c r="L363" s="234"/>
      <c r="M363" s="234"/>
    </row>
    <row r="364" spans="1:13" s="203" customFormat="1" ht="15.75" hidden="1" x14ac:dyDescent="0.25">
      <c r="A364" s="208"/>
      <c r="B364" s="208"/>
      <c r="C364" s="8"/>
      <c r="D364" s="336"/>
      <c r="G364" s="452"/>
      <c r="H364" s="450"/>
      <c r="I364" s="239"/>
      <c r="J364" s="231">
        <f t="shared" si="71"/>
        <v>0</v>
      </c>
      <c r="K364" s="240"/>
      <c r="L364" s="241"/>
      <c r="M364" s="241"/>
    </row>
    <row r="365" spans="1:13" s="203" customFormat="1" ht="15.75" hidden="1" x14ac:dyDescent="0.25">
      <c r="A365" s="208"/>
      <c r="B365" s="208"/>
      <c r="C365" s="8"/>
      <c r="D365" s="336"/>
      <c r="G365" s="453"/>
      <c r="H365" s="451"/>
      <c r="I365" s="239"/>
      <c r="J365" s="231">
        <f t="shared" si="71"/>
        <v>0</v>
      </c>
      <c r="K365" s="240"/>
      <c r="L365" s="241"/>
      <c r="M365" s="241"/>
    </row>
    <row r="366" spans="1:13" s="203" customFormat="1" ht="15.75" hidden="1" x14ac:dyDescent="0.25">
      <c r="A366" s="195"/>
      <c r="B366" s="195"/>
      <c r="C366" s="6"/>
      <c r="D366" s="336"/>
      <c r="G366" s="236"/>
      <c r="H366" s="237"/>
      <c r="I366" s="448"/>
      <c r="J366" s="231">
        <f t="shared" si="71"/>
        <v>0</v>
      </c>
      <c r="K366" s="240"/>
      <c r="L366" s="241"/>
      <c r="M366" s="241"/>
    </row>
    <row r="367" spans="1:13" s="203" customFormat="1" ht="15.75" hidden="1" x14ac:dyDescent="0.25">
      <c r="A367" s="195"/>
      <c r="B367" s="195"/>
      <c r="C367" s="6"/>
      <c r="D367" s="336"/>
      <c r="G367" s="200"/>
      <c r="I367" s="448"/>
      <c r="J367" s="231">
        <f t="shared" si="71"/>
        <v>0</v>
      </c>
      <c r="K367" s="240"/>
      <c r="L367" s="240"/>
      <c r="M367" s="240"/>
    </row>
    <row r="368" spans="1:13" ht="15.75" hidden="1" x14ac:dyDescent="0.25">
      <c r="B368" s="65"/>
      <c r="G368" s="242"/>
      <c r="I368" s="448"/>
      <c r="J368" s="231">
        <f t="shared" si="71"/>
        <v>0</v>
      </c>
      <c r="K368" s="240"/>
      <c r="L368" s="241"/>
      <c r="M368" s="241"/>
    </row>
    <row r="369" spans="2:13" ht="15.75" hidden="1" x14ac:dyDescent="0.25">
      <c r="B369" s="65"/>
      <c r="G369" s="242"/>
      <c r="H369" s="243"/>
      <c r="I369" s="448"/>
      <c r="J369" s="231">
        <f t="shared" si="71"/>
        <v>0</v>
      </c>
      <c r="K369" s="240"/>
      <c r="L369" s="241"/>
      <c r="M369" s="241"/>
    </row>
    <row r="370" spans="2:13" ht="15.75" hidden="1" x14ac:dyDescent="0.25">
      <c r="B370" s="65"/>
      <c r="G370" s="242"/>
      <c r="H370" s="243"/>
      <c r="I370" s="448"/>
      <c r="J370" s="231">
        <f t="shared" si="71"/>
        <v>0</v>
      </c>
      <c r="K370" s="240"/>
      <c r="L370" s="241"/>
      <c r="M370" s="241"/>
    </row>
    <row r="371" spans="2:13" ht="15.75" hidden="1" x14ac:dyDescent="0.25">
      <c r="B371" s="65"/>
      <c r="G371" s="242"/>
      <c r="H371" s="243"/>
      <c r="I371" s="244"/>
      <c r="J371" s="231">
        <f t="shared" si="71"/>
        <v>0</v>
      </c>
      <c r="K371" s="240"/>
      <c r="L371" s="241"/>
      <c r="M371" s="241"/>
    </row>
    <row r="372" spans="2:13" ht="15.75" hidden="1" x14ac:dyDescent="0.25">
      <c r="B372" s="65"/>
      <c r="G372" s="242"/>
      <c r="H372" s="245"/>
      <c r="I372" s="239"/>
      <c r="J372" s="231">
        <f t="shared" si="71"/>
        <v>0</v>
      </c>
      <c r="K372" s="240"/>
      <c r="L372" s="241"/>
      <c r="M372" s="241"/>
    </row>
    <row r="373" spans="2:13" ht="15.75" hidden="1" x14ac:dyDescent="0.25">
      <c r="B373" s="65"/>
      <c r="G373" s="242"/>
      <c r="H373" s="243"/>
      <c r="I373" s="244"/>
      <c r="J373" s="231">
        <f t="shared" si="71"/>
        <v>0</v>
      </c>
      <c r="K373" s="240"/>
      <c r="L373" s="241"/>
      <c r="M373" s="241"/>
    </row>
    <row r="374" spans="2:13" ht="15.75" hidden="1" x14ac:dyDescent="0.25">
      <c r="B374" s="65"/>
      <c r="G374" s="242"/>
      <c r="H374" s="243"/>
      <c r="I374" s="244"/>
      <c r="J374" s="231">
        <f t="shared" si="71"/>
        <v>0</v>
      </c>
      <c r="K374" s="240"/>
      <c r="L374" s="241"/>
      <c r="M374" s="241"/>
    </row>
    <row r="375" spans="2:13" ht="15.75" hidden="1" x14ac:dyDescent="0.25">
      <c r="B375" s="65"/>
      <c r="G375" s="242"/>
      <c r="H375" s="243"/>
      <c r="I375" s="244"/>
      <c r="J375" s="231">
        <f t="shared" si="71"/>
        <v>0</v>
      </c>
      <c r="K375" s="240"/>
      <c r="L375" s="241"/>
      <c r="M375" s="241"/>
    </row>
    <row r="376" spans="2:13" ht="15.75" hidden="1" x14ac:dyDescent="0.25">
      <c r="B376" s="65"/>
      <c r="G376" s="242"/>
      <c r="H376" s="243"/>
      <c r="I376" s="246"/>
      <c r="J376" s="247">
        <f t="shared" si="71"/>
        <v>0</v>
      </c>
      <c r="K376" s="248"/>
      <c r="L376" s="240"/>
      <c r="M376" s="240"/>
    </row>
    <row r="377" spans="2:13" ht="15.75" hidden="1" x14ac:dyDescent="0.25">
      <c r="B377" s="65"/>
      <c r="G377" s="242"/>
      <c r="H377" s="249"/>
      <c r="I377" s="246"/>
      <c r="J377" s="231">
        <f t="shared" si="71"/>
        <v>0</v>
      </c>
      <c r="K377" s="240"/>
      <c r="L377" s="240"/>
      <c r="M377" s="240"/>
    </row>
    <row r="378" spans="2:13" ht="15.75" hidden="1" x14ac:dyDescent="0.25">
      <c r="B378" s="65"/>
      <c r="G378" s="242"/>
      <c r="H378" s="249"/>
      <c r="I378" s="246"/>
      <c r="J378" s="231">
        <f t="shared" si="71"/>
        <v>0</v>
      </c>
      <c r="K378" s="240"/>
      <c r="L378" s="240"/>
      <c r="M378" s="240"/>
    </row>
    <row r="379" spans="2:13" ht="15.75" hidden="1" x14ac:dyDescent="0.25">
      <c r="B379" s="65"/>
      <c r="G379" s="242"/>
      <c r="H379" s="249"/>
      <c r="I379" s="246"/>
      <c r="J379" s="231">
        <f t="shared" si="71"/>
        <v>0</v>
      </c>
      <c r="K379" s="240"/>
      <c r="L379" s="240"/>
      <c r="M379" s="240"/>
    </row>
    <row r="380" spans="2:13" ht="15.75" hidden="1" x14ac:dyDescent="0.25">
      <c r="B380" s="65"/>
      <c r="G380" s="242"/>
      <c r="H380" s="249"/>
      <c r="I380" s="246"/>
      <c r="J380" s="231">
        <f t="shared" si="71"/>
        <v>0</v>
      </c>
      <c r="K380" s="240"/>
      <c r="L380" s="240"/>
      <c r="M380" s="240"/>
    </row>
    <row r="381" spans="2:13" ht="15.75" hidden="1" x14ac:dyDescent="0.25">
      <c r="B381" s="65"/>
      <c r="G381" s="242"/>
      <c r="H381" s="249"/>
      <c r="I381" s="246"/>
      <c r="J381" s="231">
        <f t="shared" si="71"/>
        <v>0</v>
      </c>
      <c r="K381" s="240"/>
      <c r="L381" s="240"/>
      <c r="M381" s="240"/>
    </row>
    <row r="382" spans="2:13" ht="15.75" hidden="1" x14ac:dyDescent="0.25">
      <c r="B382" s="65"/>
      <c r="G382" s="242"/>
      <c r="H382" s="249"/>
      <c r="I382" s="244"/>
      <c r="J382" s="231">
        <f t="shared" si="71"/>
        <v>0</v>
      </c>
      <c r="K382" s="241"/>
      <c r="L382" s="240"/>
      <c r="M382" s="240"/>
    </row>
    <row r="383" spans="2:13" ht="15.75" hidden="1" x14ac:dyDescent="0.25">
      <c r="B383" s="65"/>
      <c r="G383" s="242"/>
      <c r="H383" s="249"/>
      <c r="I383" s="456"/>
      <c r="J383" s="231">
        <f t="shared" si="71"/>
        <v>0</v>
      </c>
      <c r="K383" s="241"/>
      <c r="L383" s="240"/>
      <c r="M383" s="240"/>
    </row>
    <row r="384" spans="2:13" ht="15.75" hidden="1" x14ac:dyDescent="0.25">
      <c r="B384" s="65"/>
      <c r="G384" s="242"/>
      <c r="H384" s="249"/>
      <c r="I384" s="456"/>
      <c r="J384" s="231">
        <f t="shared" si="71"/>
        <v>0</v>
      </c>
      <c r="K384" s="241"/>
      <c r="L384" s="240"/>
      <c r="M384" s="240"/>
    </row>
    <row r="385" spans="2:13" ht="15.75" hidden="1" x14ac:dyDescent="0.25">
      <c r="B385" s="65"/>
      <c r="G385" s="242"/>
      <c r="H385" s="250"/>
      <c r="I385" s="251"/>
      <c r="J385" s="231">
        <f t="shared" si="71"/>
        <v>0</v>
      </c>
      <c r="K385" s="241"/>
      <c r="L385" s="240"/>
      <c r="M385" s="240"/>
    </row>
    <row r="386" spans="2:13" ht="15.75" hidden="1" x14ac:dyDescent="0.25">
      <c r="B386" s="65"/>
      <c r="G386" s="242"/>
      <c r="H386" s="252"/>
      <c r="I386" s="251"/>
      <c r="J386" s="231">
        <f t="shared" si="71"/>
        <v>0</v>
      </c>
      <c r="K386" s="241"/>
      <c r="L386" s="240"/>
      <c r="M386" s="240"/>
    </row>
    <row r="387" spans="2:13" ht="15.75" hidden="1" x14ac:dyDescent="0.25">
      <c r="B387" s="65"/>
      <c r="G387" s="242"/>
      <c r="H387" s="253"/>
      <c r="I387" s="251"/>
      <c r="J387" s="231">
        <f t="shared" si="71"/>
        <v>0</v>
      </c>
      <c r="K387" s="240"/>
      <c r="L387" s="240"/>
      <c r="M387" s="240"/>
    </row>
    <row r="388" spans="2:13" ht="15.75" hidden="1" x14ac:dyDescent="0.25">
      <c r="B388" s="65"/>
      <c r="G388" s="242"/>
      <c r="H388" s="254"/>
      <c r="I388" s="251"/>
      <c r="J388" s="231">
        <f t="shared" si="71"/>
        <v>0</v>
      </c>
      <c r="K388" s="240"/>
      <c r="L388" s="240"/>
      <c r="M388" s="240"/>
    </row>
    <row r="389" spans="2:13" ht="15.75" hidden="1" x14ac:dyDescent="0.25">
      <c r="B389" s="65"/>
      <c r="G389" s="242"/>
      <c r="H389" s="254"/>
      <c r="I389" s="251"/>
      <c r="J389" s="231">
        <f t="shared" si="71"/>
        <v>0</v>
      </c>
      <c r="K389" s="240"/>
      <c r="L389" s="240"/>
      <c r="M389" s="240"/>
    </row>
    <row r="390" spans="2:13" ht="15.75" hidden="1" x14ac:dyDescent="0.25">
      <c r="B390" s="65"/>
      <c r="G390" s="242"/>
      <c r="H390" s="254"/>
      <c r="I390" s="251"/>
      <c r="J390" s="238">
        <f t="shared" si="71"/>
        <v>0</v>
      </c>
      <c r="K390" s="255"/>
      <c r="L390" s="255"/>
      <c r="M390" s="255"/>
    </row>
    <row r="391" spans="2:13" ht="15.75" hidden="1" x14ac:dyDescent="0.25">
      <c r="B391" s="65"/>
      <c r="G391" s="242"/>
      <c r="H391" s="254"/>
      <c r="I391" s="251"/>
      <c r="J391" s="231">
        <f>K391+L391</f>
        <v>0</v>
      </c>
      <c r="K391" s="240"/>
      <c r="L391" s="240"/>
      <c r="M391" s="240"/>
    </row>
    <row r="392" spans="2:13" ht="15" hidden="1" x14ac:dyDescent="0.2">
      <c r="B392" s="65"/>
      <c r="G392" s="242"/>
      <c r="H392" s="254"/>
      <c r="I392" s="251"/>
      <c r="J392" s="256"/>
    </row>
    <row r="393" spans="2:13" ht="12" hidden="1" x14ac:dyDescent="0.2">
      <c r="B393" s="65"/>
      <c r="G393" s="242"/>
      <c r="I393" s="244"/>
      <c r="J393" s="256"/>
    </row>
    <row r="394" spans="2:13" x14ac:dyDescent="0.2">
      <c r="I394" s="418"/>
      <c r="J394" s="256"/>
    </row>
    <row r="395" spans="2:13" x14ac:dyDescent="0.2">
      <c r="I395" s="418"/>
      <c r="J395" s="256"/>
    </row>
    <row r="396" spans="2:13" x14ac:dyDescent="0.2">
      <c r="I396" s="418"/>
      <c r="J396" s="404"/>
      <c r="K396" s="404"/>
      <c r="L396" s="404"/>
      <c r="M396" s="404"/>
    </row>
    <row r="397" spans="2:13" x14ac:dyDescent="0.2">
      <c r="G397" s="379" t="s">
        <v>9</v>
      </c>
      <c r="H397" s="383"/>
      <c r="I397" s="402"/>
      <c r="J397" s="404">
        <v>297338382</v>
      </c>
      <c r="K397" s="404">
        <v>241485958</v>
      </c>
      <c r="L397" s="404">
        <v>55852424</v>
      </c>
      <c r="M397" s="404">
        <v>55752424</v>
      </c>
    </row>
    <row r="398" spans="2:13" x14ac:dyDescent="0.3">
      <c r="G398" s="210"/>
      <c r="H398" s="281"/>
      <c r="I398" s="61"/>
      <c r="J398" s="304"/>
      <c r="K398" s="305"/>
      <c r="L398" s="306"/>
      <c r="M398" s="305"/>
    </row>
    <row r="399" spans="2:13" x14ac:dyDescent="0.2">
      <c r="G399" s="220" t="s">
        <v>4</v>
      </c>
      <c r="H399" s="383"/>
      <c r="I399" s="402"/>
      <c r="J399" s="305">
        <f>J397-J345</f>
        <v>-2991222</v>
      </c>
      <c r="K399" s="305">
        <f>K397-K345</f>
        <v>9289619</v>
      </c>
      <c r="L399" s="305">
        <f>L397-L345</f>
        <v>-12280841</v>
      </c>
      <c r="M399" s="305">
        <f>M397-M345</f>
        <v>-10847341</v>
      </c>
    </row>
    <row r="400" spans="2:13" x14ac:dyDescent="0.3">
      <c r="G400" s="377"/>
      <c r="H400" s="281"/>
      <c r="I400" s="61"/>
      <c r="J400" s="306"/>
      <c r="K400" s="306"/>
      <c r="L400" s="306"/>
      <c r="M400" s="307"/>
    </row>
    <row r="401" spans="7:13" ht="21.75" customHeight="1" x14ac:dyDescent="0.2">
      <c r="G401" s="380"/>
      <c r="H401" s="384" t="s">
        <v>364</v>
      </c>
      <c r="I401" s="403"/>
      <c r="J401" s="405">
        <f>J399+J402</f>
        <v>0</v>
      </c>
      <c r="K401" s="405">
        <f>K399+K402</f>
        <v>0</v>
      </c>
      <c r="L401" s="405">
        <f t="shared" ref="L401" si="72">L399+L402</f>
        <v>0</v>
      </c>
      <c r="M401" s="405">
        <f>M399+M402</f>
        <v>0</v>
      </c>
    </row>
    <row r="402" spans="7:13" x14ac:dyDescent="0.2">
      <c r="G402" s="377"/>
      <c r="H402" s="282" t="s">
        <v>11</v>
      </c>
      <c r="I402" s="283"/>
      <c r="J402" s="284">
        <f>K402+L402</f>
        <v>2991222</v>
      </c>
      <c r="K402" s="284">
        <f>SUM(K403:K442)</f>
        <v>-9289619</v>
      </c>
      <c r="L402" s="284">
        <f>SUM(L403:L442)</f>
        <v>12280841</v>
      </c>
      <c r="M402" s="284">
        <f t="shared" ref="L402:M402" si="73">SUM(M403:M442)</f>
        <v>10847341</v>
      </c>
    </row>
    <row r="403" spans="7:13" x14ac:dyDescent="0.2">
      <c r="G403" s="377"/>
      <c r="H403" s="281"/>
      <c r="I403" s="285"/>
      <c r="J403" s="284">
        <f t="shared" ref="J403:J442" si="74">K403+L403</f>
        <v>-616000</v>
      </c>
      <c r="K403" s="286">
        <v>-1000000</v>
      </c>
      <c r="L403" s="286">
        <v>384000</v>
      </c>
      <c r="M403" s="286"/>
    </row>
    <row r="404" spans="7:13" x14ac:dyDescent="0.2">
      <c r="G404" s="377"/>
      <c r="H404" s="281"/>
      <c r="I404" s="287"/>
      <c r="J404" s="284">
        <f t="shared" si="74"/>
        <v>8549500</v>
      </c>
      <c r="K404" s="286">
        <v>7500000</v>
      </c>
      <c r="L404" s="286">
        <v>1049500</v>
      </c>
      <c r="M404" s="286"/>
    </row>
    <row r="405" spans="7:13" x14ac:dyDescent="0.2">
      <c r="G405" s="374"/>
      <c r="H405" s="288"/>
      <c r="I405" s="287"/>
      <c r="J405" s="284">
        <f t="shared" si="74"/>
        <v>-12495085</v>
      </c>
      <c r="K405" s="286">
        <v>-17942453</v>
      </c>
      <c r="L405" s="286">
        <v>5447368</v>
      </c>
      <c r="M405" s="286">
        <v>5447368</v>
      </c>
    </row>
    <row r="406" spans="7:13" x14ac:dyDescent="0.2">
      <c r="G406" s="374"/>
      <c r="H406" s="288"/>
      <c r="I406" s="287"/>
      <c r="J406" s="284">
        <f t="shared" si="74"/>
        <v>3320000</v>
      </c>
      <c r="K406" s="286">
        <f>2000000-1580000</f>
        <v>420000</v>
      </c>
      <c r="L406" s="286">
        <v>2900000</v>
      </c>
      <c r="M406" s="286">
        <v>2900000</v>
      </c>
    </row>
    <row r="407" spans="7:13" x14ac:dyDescent="0.2">
      <c r="G407" s="430" t="s">
        <v>225</v>
      </c>
      <c r="H407" s="433">
        <f>+L387-L263-M387</f>
        <v>0</v>
      </c>
      <c r="I407" s="287"/>
      <c r="J407" s="284">
        <f t="shared" si="74"/>
        <v>-2045840</v>
      </c>
      <c r="K407" s="286">
        <v>-13500000</v>
      </c>
      <c r="L407" s="286">
        <v>11454160</v>
      </c>
      <c r="M407" s="286">
        <v>11454160</v>
      </c>
    </row>
    <row r="408" spans="7:13" x14ac:dyDescent="0.2">
      <c r="G408" s="431"/>
      <c r="H408" s="434"/>
      <c r="I408" s="290"/>
      <c r="J408" s="284">
        <f t="shared" si="74"/>
        <v>10371634</v>
      </c>
      <c r="K408" s="286">
        <v>8919634</v>
      </c>
      <c r="L408" s="286">
        <v>1452000</v>
      </c>
      <c r="M408" s="286">
        <v>1452000</v>
      </c>
    </row>
    <row r="409" spans="7:13" x14ac:dyDescent="0.25">
      <c r="G409" s="432"/>
      <c r="H409" s="435"/>
      <c r="I409" s="290"/>
      <c r="J409" s="284">
        <f t="shared" si="74"/>
        <v>3586439</v>
      </c>
      <c r="K409" s="291"/>
      <c r="L409" s="292">
        <v>3586439</v>
      </c>
      <c r="M409" s="292">
        <v>3586439</v>
      </c>
    </row>
    <row r="410" spans="7:13" x14ac:dyDescent="0.25">
      <c r="G410" s="374"/>
      <c r="H410" s="288"/>
      <c r="I410" s="454"/>
      <c r="J410" s="284">
        <f t="shared" si="74"/>
        <v>150000</v>
      </c>
      <c r="K410" s="291">
        <v>54800</v>
      </c>
      <c r="L410" s="292">
        <v>95200</v>
      </c>
      <c r="M410" s="292">
        <v>95200</v>
      </c>
    </row>
    <row r="411" spans="7:13" x14ac:dyDescent="0.25">
      <c r="G411" s="377"/>
      <c r="H411" s="2"/>
      <c r="I411" s="454"/>
      <c r="J411" s="284">
        <f t="shared" si="74"/>
        <v>945400</v>
      </c>
      <c r="K411" s="291">
        <v>124900</v>
      </c>
      <c r="L411" s="292">
        <v>820500</v>
      </c>
      <c r="M411" s="292">
        <v>820500</v>
      </c>
    </row>
    <row r="412" spans="7:13" x14ac:dyDescent="0.25">
      <c r="G412" s="377"/>
      <c r="H412" s="2"/>
      <c r="I412" s="454"/>
      <c r="J412" s="284">
        <f t="shared" si="74"/>
        <v>3646270</v>
      </c>
      <c r="K412" s="291">
        <v>68500</v>
      </c>
      <c r="L412" s="292">
        <v>3577770</v>
      </c>
      <c r="M412" s="292">
        <v>3577770</v>
      </c>
    </row>
    <row r="413" spans="7:13" x14ac:dyDescent="0.25">
      <c r="H413" s="293"/>
      <c r="I413" s="454"/>
      <c r="J413" s="284">
        <f t="shared" si="74"/>
        <v>1727264</v>
      </c>
      <c r="K413" s="291">
        <v>230000</v>
      </c>
      <c r="L413" s="291">
        <v>1497264</v>
      </c>
      <c r="M413" s="291">
        <v>1497264</v>
      </c>
    </row>
    <row r="414" spans="7:13" x14ac:dyDescent="0.25">
      <c r="H414" s="294"/>
      <c r="I414" s="454"/>
      <c r="J414" s="284">
        <f t="shared" si="74"/>
        <v>2319080</v>
      </c>
      <c r="K414" s="291">
        <v>2255000</v>
      </c>
      <c r="L414" s="292">
        <v>64080</v>
      </c>
      <c r="M414" s="292">
        <v>64080</v>
      </c>
    </row>
    <row r="415" spans="7:13" x14ac:dyDescent="0.25">
      <c r="H415" s="294"/>
      <c r="I415" s="454"/>
      <c r="J415" s="284">
        <f t="shared" si="74"/>
        <v>2138724</v>
      </c>
      <c r="K415" s="291">
        <v>2000000</v>
      </c>
      <c r="L415" s="292">
        <v>138724</v>
      </c>
      <c r="M415" s="292">
        <v>138724</v>
      </c>
    </row>
    <row r="416" spans="7:13" x14ac:dyDescent="0.25">
      <c r="H416" s="294"/>
      <c r="I416" s="417"/>
      <c r="J416" s="284">
        <f t="shared" si="74"/>
        <v>4766200</v>
      </c>
      <c r="K416" s="291">
        <v>1580000</v>
      </c>
      <c r="L416" s="292">
        <v>3186200</v>
      </c>
      <c r="M416" s="292">
        <v>3186200</v>
      </c>
    </row>
    <row r="417" spans="8:13" x14ac:dyDescent="0.25">
      <c r="H417" s="288"/>
      <c r="I417" s="290"/>
      <c r="J417" s="284">
        <f t="shared" si="74"/>
        <v>1498000</v>
      </c>
      <c r="K417" s="291"/>
      <c r="L417" s="292">
        <v>1498000</v>
      </c>
      <c r="M417" s="292">
        <v>1498000</v>
      </c>
    </row>
    <row r="418" spans="8:13" x14ac:dyDescent="0.25">
      <c r="H418" s="294"/>
      <c r="I418" s="417"/>
      <c r="J418" s="284">
        <f t="shared" si="74"/>
        <v>1380358</v>
      </c>
      <c r="K418" s="291"/>
      <c r="L418" s="292">
        <v>1380358</v>
      </c>
      <c r="M418" s="292">
        <v>1380358</v>
      </c>
    </row>
    <row r="419" spans="8:13" x14ac:dyDescent="0.25">
      <c r="H419" s="294"/>
      <c r="I419" s="417"/>
      <c r="J419" s="284">
        <f t="shared" si="74"/>
        <v>317056</v>
      </c>
      <c r="K419" s="291"/>
      <c r="L419" s="292">
        <v>317056</v>
      </c>
      <c r="M419" s="292">
        <v>317056</v>
      </c>
    </row>
    <row r="420" spans="8:13" x14ac:dyDescent="0.25">
      <c r="H420" s="294"/>
      <c r="I420" s="417"/>
      <c r="J420" s="284">
        <f t="shared" si="74"/>
        <v>-4603668</v>
      </c>
      <c r="K420" s="291"/>
      <c r="L420" s="292">
        <v>-4603668</v>
      </c>
      <c r="M420" s="292">
        <v>-4603668</v>
      </c>
    </row>
    <row r="421" spans="8:13" x14ac:dyDescent="0.25">
      <c r="H421" s="294"/>
      <c r="I421" s="295"/>
      <c r="J421" s="296">
        <f t="shared" si="74"/>
        <v>-21964110</v>
      </c>
      <c r="K421" s="297"/>
      <c r="L421" s="291">
        <v>-21964110</v>
      </c>
      <c r="M421" s="291">
        <v>-21964110</v>
      </c>
    </row>
    <row r="422" spans="8:13" x14ac:dyDescent="0.25">
      <c r="H422" s="298"/>
      <c r="I422" s="295"/>
      <c r="J422" s="284">
        <f t="shared" si="74"/>
        <v>0</v>
      </c>
      <c r="K422" s="291"/>
      <c r="L422" s="291"/>
      <c r="M422" s="291"/>
    </row>
    <row r="423" spans="8:13" x14ac:dyDescent="0.25">
      <c r="H423" s="298"/>
      <c r="I423" s="295"/>
      <c r="J423" s="284">
        <f t="shared" si="74"/>
        <v>0</v>
      </c>
      <c r="K423" s="291"/>
      <c r="L423" s="291"/>
      <c r="M423" s="291"/>
    </row>
    <row r="424" spans="8:13" x14ac:dyDescent="0.25">
      <c r="H424" s="298"/>
      <c r="I424" s="295"/>
      <c r="J424" s="284">
        <f t="shared" si="74"/>
        <v>0</v>
      </c>
      <c r="K424" s="291"/>
      <c r="L424" s="291"/>
      <c r="M424" s="291"/>
    </row>
    <row r="425" spans="8:13" x14ac:dyDescent="0.25">
      <c r="H425" s="298"/>
      <c r="I425" s="295"/>
      <c r="J425" s="284">
        <f t="shared" si="74"/>
        <v>0</v>
      </c>
      <c r="K425" s="291"/>
      <c r="L425" s="291"/>
      <c r="M425" s="291"/>
    </row>
    <row r="426" spans="8:13" x14ac:dyDescent="0.25">
      <c r="H426" s="298"/>
      <c r="I426" s="295"/>
      <c r="J426" s="284">
        <f t="shared" si="74"/>
        <v>0</v>
      </c>
      <c r="K426" s="291"/>
      <c r="L426" s="291"/>
      <c r="M426" s="291"/>
    </row>
    <row r="427" spans="8:13" x14ac:dyDescent="0.25">
      <c r="H427" s="298"/>
      <c r="I427" s="417"/>
      <c r="J427" s="284">
        <f t="shared" si="74"/>
        <v>0</v>
      </c>
      <c r="K427" s="292"/>
      <c r="L427" s="291"/>
      <c r="M427" s="291"/>
    </row>
    <row r="428" spans="8:13" x14ac:dyDescent="0.25">
      <c r="H428" s="298"/>
      <c r="I428" s="455"/>
      <c r="J428" s="284">
        <f t="shared" si="74"/>
        <v>0</v>
      </c>
      <c r="K428" s="292"/>
      <c r="L428" s="291"/>
      <c r="M428" s="291"/>
    </row>
    <row r="429" spans="8:13" x14ac:dyDescent="0.25">
      <c r="H429" s="298"/>
      <c r="I429" s="455"/>
      <c r="J429" s="284">
        <f t="shared" si="74"/>
        <v>0</v>
      </c>
      <c r="K429" s="292"/>
      <c r="L429" s="291"/>
      <c r="M429" s="291"/>
    </row>
    <row r="430" spans="8:13" x14ac:dyDescent="0.25">
      <c r="H430" s="299"/>
      <c r="I430" s="300"/>
      <c r="J430" s="284">
        <f t="shared" si="74"/>
        <v>0</v>
      </c>
      <c r="K430" s="292"/>
      <c r="L430" s="291"/>
      <c r="M430" s="291"/>
    </row>
    <row r="431" spans="8:13" x14ac:dyDescent="0.25">
      <c r="H431" s="301"/>
      <c r="I431" s="300"/>
      <c r="J431" s="284">
        <f t="shared" si="74"/>
        <v>0</v>
      </c>
      <c r="K431" s="292"/>
      <c r="L431" s="291"/>
      <c r="M431" s="291"/>
    </row>
    <row r="432" spans="8:13" x14ac:dyDescent="0.25">
      <c r="H432" s="385"/>
      <c r="I432" s="300"/>
      <c r="J432" s="284">
        <f t="shared" si="74"/>
        <v>0</v>
      </c>
      <c r="K432" s="291"/>
      <c r="L432" s="291"/>
      <c r="M432" s="291"/>
    </row>
    <row r="433" spans="8:13" x14ac:dyDescent="0.25">
      <c r="H433" s="302"/>
      <c r="I433" s="300"/>
      <c r="J433" s="284">
        <f t="shared" si="74"/>
        <v>0</v>
      </c>
      <c r="K433" s="291"/>
      <c r="L433" s="291"/>
      <c r="M433" s="291"/>
    </row>
    <row r="434" spans="8:13" x14ac:dyDescent="0.25">
      <c r="H434" s="302"/>
      <c r="I434" s="300"/>
      <c r="J434" s="284">
        <f t="shared" si="74"/>
        <v>0</v>
      </c>
      <c r="K434" s="291"/>
      <c r="L434" s="291"/>
      <c r="M434" s="291"/>
    </row>
    <row r="435" spans="8:13" x14ac:dyDescent="0.25">
      <c r="H435" s="302"/>
      <c r="I435" s="300"/>
      <c r="J435" s="289">
        <f t="shared" si="74"/>
        <v>0</v>
      </c>
      <c r="K435" s="303"/>
      <c r="L435" s="303"/>
      <c r="M435" s="303"/>
    </row>
    <row r="436" spans="8:13" x14ac:dyDescent="0.25">
      <c r="H436" s="302"/>
      <c r="I436" s="300"/>
      <c r="J436" s="289">
        <f t="shared" si="74"/>
        <v>0</v>
      </c>
      <c r="K436" s="291"/>
      <c r="L436" s="291"/>
      <c r="M436" s="291"/>
    </row>
    <row r="437" spans="8:13" x14ac:dyDescent="0.25">
      <c r="J437" s="289">
        <f t="shared" si="74"/>
        <v>0</v>
      </c>
      <c r="K437" s="291"/>
      <c r="L437" s="291"/>
      <c r="M437" s="291"/>
    </row>
    <row r="438" spans="8:13" x14ac:dyDescent="0.25">
      <c r="J438" s="289">
        <f t="shared" si="74"/>
        <v>0</v>
      </c>
      <c r="K438" s="291"/>
      <c r="L438" s="291"/>
      <c r="M438" s="291"/>
    </row>
    <row r="439" spans="8:13" x14ac:dyDescent="0.25">
      <c r="J439" s="289">
        <f t="shared" si="74"/>
        <v>0</v>
      </c>
      <c r="K439" s="291"/>
      <c r="L439" s="291"/>
      <c r="M439" s="291"/>
    </row>
    <row r="440" spans="8:13" x14ac:dyDescent="0.25">
      <c r="J440" s="289">
        <f t="shared" si="74"/>
        <v>0</v>
      </c>
      <c r="K440" s="291"/>
      <c r="L440" s="291"/>
      <c r="M440" s="291"/>
    </row>
    <row r="441" spans="8:13" x14ac:dyDescent="0.25">
      <c r="J441" s="289">
        <f t="shared" si="74"/>
        <v>0</v>
      </c>
      <c r="K441" s="291"/>
      <c r="L441" s="291"/>
      <c r="M441" s="291"/>
    </row>
    <row r="442" spans="8:13" x14ac:dyDescent="0.25">
      <c r="J442" s="289">
        <f t="shared" si="74"/>
        <v>0</v>
      </c>
      <c r="K442" s="291"/>
      <c r="L442" s="291"/>
      <c r="M442" s="291"/>
    </row>
    <row r="443" spans="8:13" x14ac:dyDescent="0.25">
      <c r="J443" s="289"/>
      <c r="K443" s="291"/>
      <c r="L443" s="291"/>
      <c r="M443" s="291"/>
    </row>
    <row r="444" spans="8:13" x14ac:dyDescent="0.25">
      <c r="J444" s="289"/>
      <c r="K444" s="291"/>
      <c r="L444" s="291"/>
      <c r="M444" s="291"/>
    </row>
    <row r="445" spans="8:13" x14ac:dyDescent="0.25">
      <c r="J445" s="289"/>
      <c r="K445" s="291"/>
      <c r="L445" s="291"/>
      <c r="M445" s="291"/>
    </row>
  </sheetData>
  <autoFilter ref="A6:M351" xr:uid="{00000000-0009-0000-0000-000000000000}">
    <filterColumn colId="0">
      <customFilters>
        <customFilter operator="notEqual" val=" "/>
      </customFilters>
    </filterColumn>
  </autoFilter>
  <mergeCells count="21">
    <mergeCell ref="I410:I415"/>
    <mergeCell ref="I428:I429"/>
    <mergeCell ref="I383:I384"/>
    <mergeCell ref="D345:G345"/>
    <mergeCell ref="I5:I6"/>
    <mergeCell ref="J5:J6"/>
    <mergeCell ref="L5:M5"/>
    <mergeCell ref="G407:G409"/>
    <mergeCell ref="H407:H409"/>
    <mergeCell ref="D1:M1"/>
    <mergeCell ref="F5:F6"/>
    <mergeCell ref="H5:H6"/>
    <mergeCell ref="K5:K6"/>
    <mergeCell ref="D5:D6"/>
    <mergeCell ref="G5:G6"/>
    <mergeCell ref="E5:E6"/>
    <mergeCell ref="J349:K349"/>
    <mergeCell ref="E349:G349"/>
    <mergeCell ref="I366:I370"/>
    <mergeCell ref="H363:H365"/>
    <mergeCell ref="G363:G365"/>
  </mergeCells>
  <phoneticPr fontId="4" type="noConversion"/>
  <pageMargins left="1.1811023622047245" right="0.39370078740157483" top="1.27734375" bottom="0.78740157480314965" header="0.78740157480314965" footer="0.51181102362204722"/>
  <pageSetup paperSize="9" scale="45" fitToHeight="9" orientation="landscape" blackAndWhite="1" r:id="rId1"/>
  <headerFooter differentFirst="1">
    <oddHeader xml:space="preserve">&amp;C&amp;"Times New Roman,обычный"&amp;14&amp;P&amp;R&amp;"Times New Roman,обычный"&amp;14Продовження додатку 6
</oddHeader>
    <oddFooter>&amp;R&amp;P</oddFooter>
    <firstHeader>&amp;R&amp;"Times New Roman,Обычный"&amp;24Додаток 6
до рішення міської ради
від      .02.2025 року №________</firstHeader>
  </headerFooter>
  <rowBreaks count="1" manualBreakCount="1">
    <brk id="147" min="2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workbookViewId="0">
      <selection activeCell="G16" sqref="G16"/>
    </sheetView>
  </sheetViews>
  <sheetFormatPr defaultRowHeight="12.75" x14ac:dyDescent="0.2"/>
  <cols>
    <col min="1" max="1" width="13.7109375" bestFit="1" customWidth="1"/>
    <col min="2" max="3" width="13.7109375" customWidth="1"/>
  </cols>
  <sheetData>
    <row r="1" spans="1:8" x14ac:dyDescent="0.2">
      <c r="A1">
        <v>2111</v>
      </c>
      <c r="B1">
        <v>2120</v>
      </c>
      <c r="C1" t="s">
        <v>331</v>
      </c>
    </row>
    <row r="2" spans="1:8" x14ac:dyDescent="0.2">
      <c r="A2" s="408">
        <v>61363670</v>
      </c>
      <c r="B2" s="408">
        <f>+A2*0.22</f>
        <v>13500007.4</v>
      </c>
      <c r="C2" s="408">
        <f>+A2+B2</f>
        <v>74863677.400000006</v>
      </c>
      <c r="D2" s="409">
        <v>1010</v>
      </c>
      <c r="E2" s="408"/>
      <c r="F2" s="408"/>
      <c r="G2" s="408"/>
      <c r="H2" s="408"/>
    </row>
    <row r="3" spans="1:8" x14ac:dyDescent="0.2">
      <c r="A3" s="408">
        <v>29819160</v>
      </c>
      <c r="B3" s="408">
        <f t="shared" ref="B3:B10" si="0">+A3*0.22</f>
        <v>6560215.2000000002</v>
      </c>
      <c r="C3" s="408">
        <f t="shared" ref="C3:C12" si="1">+A3+B3</f>
        <v>36379375.200000003</v>
      </c>
      <c r="D3" s="409">
        <v>1021</v>
      </c>
      <c r="E3" s="408"/>
      <c r="F3" s="408"/>
      <c r="G3" s="408"/>
      <c r="H3" s="408"/>
    </row>
    <row r="4" spans="1:8" x14ac:dyDescent="0.2">
      <c r="A4" s="408">
        <v>4855372</v>
      </c>
      <c r="B4" s="408">
        <f t="shared" si="0"/>
        <v>1068181.8400000001</v>
      </c>
      <c r="C4" s="408">
        <f t="shared" si="1"/>
        <v>5923553.8399999999</v>
      </c>
      <c r="D4" s="409">
        <v>1070</v>
      </c>
      <c r="E4" s="408"/>
      <c r="F4" s="408"/>
      <c r="G4" s="408"/>
      <c r="H4" s="408"/>
    </row>
    <row r="5" spans="1:8" x14ac:dyDescent="0.2">
      <c r="A5" s="408">
        <v>6323971</v>
      </c>
      <c r="B5" s="408">
        <f t="shared" si="0"/>
        <v>1391273.62</v>
      </c>
      <c r="C5" s="408">
        <f t="shared" si="1"/>
        <v>7715244.6200000001</v>
      </c>
      <c r="D5" s="409">
        <v>1141</v>
      </c>
      <c r="E5" s="408"/>
      <c r="F5" s="408"/>
      <c r="G5" s="408"/>
      <c r="H5" s="408"/>
    </row>
    <row r="6" spans="1:8" x14ac:dyDescent="0.2">
      <c r="A6" s="408">
        <v>1850537</v>
      </c>
      <c r="B6" s="408">
        <f t="shared" si="0"/>
        <v>407118.14</v>
      </c>
      <c r="C6" s="408">
        <f t="shared" si="1"/>
        <v>2257655.14</v>
      </c>
      <c r="D6" s="409" t="s">
        <v>329</v>
      </c>
      <c r="E6" s="408"/>
      <c r="F6" s="408"/>
      <c r="G6" s="408"/>
      <c r="H6" s="408"/>
    </row>
    <row r="7" spans="1:8" x14ac:dyDescent="0.2">
      <c r="A7" s="408">
        <v>5034760</v>
      </c>
      <c r="B7" s="408">
        <f t="shared" si="0"/>
        <v>1107647.2</v>
      </c>
      <c r="C7" s="408">
        <f t="shared" si="1"/>
        <v>6142407.2000000002</v>
      </c>
      <c r="D7" s="409" t="s">
        <v>330</v>
      </c>
      <c r="E7" s="408"/>
      <c r="F7" s="408"/>
      <c r="G7" s="408"/>
      <c r="H7" s="408"/>
    </row>
    <row r="8" spans="1:8" x14ac:dyDescent="0.2">
      <c r="A8" s="408">
        <v>592549</v>
      </c>
      <c r="B8" s="408">
        <f t="shared" si="0"/>
        <v>130360.78</v>
      </c>
      <c r="C8" s="408">
        <f t="shared" si="1"/>
        <v>722909.78</v>
      </c>
      <c r="D8" s="409">
        <v>1151</v>
      </c>
      <c r="E8" s="408"/>
      <c r="F8" s="408"/>
      <c r="G8" s="408"/>
      <c r="H8" s="408"/>
    </row>
    <row r="9" spans="1:8" x14ac:dyDescent="0.2">
      <c r="A9" s="413"/>
      <c r="B9" s="408">
        <f t="shared" si="0"/>
        <v>0</v>
      </c>
      <c r="C9" s="408">
        <f t="shared" si="1"/>
        <v>0</v>
      </c>
      <c r="D9" s="409">
        <v>1152</v>
      </c>
      <c r="E9" s="408"/>
      <c r="F9" s="408"/>
      <c r="G9" s="408"/>
      <c r="H9" s="408"/>
    </row>
    <row r="10" spans="1:8" x14ac:dyDescent="0.2">
      <c r="A10" s="408">
        <v>1589702.48</v>
      </c>
      <c r="B10" s="408">
        <f t="shared" si="0"/>
        <v>349734.54560000001</v>
      </c>
      <c r="C10" s="408">
        <f t="shared" si="1"/>
        <v>1939437.0256000001</v>
      </c>
      <c r="D10" s="409">
        <v>1160</v>
      </c>
      <c r="E10" s="408"/>
      <c r="F10" s="408"/>
      <c r="G10" s="408"/>
      <c r="H10" s="408"/>
    </row>
    <row r="11" spans="1:8" s="412" customFormat="1" x14ac:dyDescent="0.2">
      <c r="A11" s="410">
        <f>SUM(A2:A10)</f>
        <v>111429721.48</v>
      </c>
      <c r="B11" s="410">
        <f>SUM(B2:B10)</f>
        <v>24514538.725600004</v>
      </c>
      <c r="C11" s="410">
        <f>SUM(C2:C10)</f>
        <v>135944260.20560002</v>
      </c>
      <c r="D11" s="411"/>
      <c r="E11" s="410"/>
      <c r="F11" s="410"/>
      <c r="G11" s="410"/>
      <c r="H11" s="410"/>
    </row>
    <row r="12" spans="1:8" x14ac:dyDescent="0.2">
      <c r="A12" s="408">
        <v>3201755</v>
      </c>
      <c r="B12" s="408">
        <f>+A12*0.22</f>
        <v>704386.1</v>
      </c>
      <c r="C12" s="408">
        <f t="shared" si="1"/>
        <v>3906141.1</v>
      </c>
      <c r="D12" s="409">
        <v>5031</v>
      </c>
      <c r="E12" s="408"/>
      <c r="F12" s="408"/>
      <c r="G12" s="408"/>
      <c r="H12" s="408"/>
    </row>
    <row r="13" spans="1:8" s="412" customFormat="1" x14ac:dyDescent="0.2">
      <c r="A13" s="410">
        <f>+A11+A12</f>
        <v>114631476.48</v>
      </c>
      <c r="B13" s="410">
        <f>+B11+B12</f>
        <v>25218924.825600006</v>
      </c>
      <c r="C13" s="410">
        <f>+C11+C12</f>
        <v>139850401.30560002</v>
      </c>
      <c r="D13" s="410"/>
      <c r="E13" s="410"/>
      <c r="F13" s="410"/>
      <c r="G13" s="410"/>
      <c r="H13" s="410"/>
    </row>
    <row r="14" spans="1:8" x14ac:dyDescent="0.2">
      <c r="A14" s="408"/>
      <c r="B14" s="408"/>
      <c r="C14" s="408"/>
      <c r="D14" s="408"/>
      <c r="E14" s="408"/>
      <c r="F14" s="408"/>
      <c r="G14" s="408"/>
      <c r="H14" s="408"/>
    </row>
    <row r="15" spans="1:8" x14ac:dyDescent="0.2">
      <c r="A15" s="408"/>
      <c r="B15" s="408"/>
      <c r="C15" s="408"/>
      <c r="D15" s="408"/>
      <c r="E15" s="408"/>
      <c r="F15" s="408"/>
      <c r="G15" s="408"/>
      <c r="H15" s="408"/>
    </row>
    <row r="16" spans="1:8" x14ac:dyDescent="0.2">
      <c r="A16" s="408"/>
      <c r="B16" s="408"/>
      <c r="C16" s="408"/>
      <c r="D16" s="408"/>
      <c r="E16" s="408"/>
      <c r="F16" s="408"/>
      <c r="G16" s="408"/>
      <c r="H16" s="408"/>
    </row>
    <row r="17" spans="1:8" x14ac:dyDescent="0.2">
      <c r="A17" s="408"/>
      <c r="B17" s="408"/>
      <c r="C17" s="408"/>
      <c r="D17" s="408"/>
      <c r="E17" s="408"/>
      <c r="F17" s="408"/>
      <c r="G17" s="408"/>
      <c r="H17" s="408"/>
    </row>
    <row r="18" spans="1:8" x14ac:dyDescent="0.2">
      <c r="A18" s="408"/>
      <c r="B18" s="408"/>
      <c r="C18" s="408"/>
      <c r="D18" s="408"/>
      <c r="E18" s="408"/>
      <c r="F18" s="408"/>
      <c r="G18" s="408"/>
      <c r="H18" s="408"/>
    </row>
    <row r="19" spans="1:8" x14ac:dyDescent="0.2">
      <c r="A19" s="408"/>
      <c r="B19" s="408"/>
      <c r="C19" s="408"/>
      <c r="D19" s="408"/>
      <c r="E19" s="408"/>
      <c r="F19" s="408"/>
      <c r="G19" s="408"/>
      <c r="H19" s="408"/>
    </row>
    <row r="20" spans="1:8" x14ac:dyDescent="0.2">
      <c r="A20" s="408"/>
      <c r="B20" s="408"/>
      <c r="C20" s="408"/>
      <c r="D20" s="408"/>
      <c r="E20" s="408"/>
      <c r="F20" s="408"/>
      <c r="G20" s="408"/>
      <c r="H20" s="408"/>
    </row>
    <row r="21" spans="1:8" x14ac:dyDescent="0.2">
      <c r="A21" s="408"/>
      <c r="B21" s="408"/>
      <c r="C21" s="408"/>
      <c r="D21" s="408"/>
      <c r="E21" s="408"/>
      <c r="F21" s="408"/>
      <c r="G21" s="408"/>
      <c r="H21" s="408"/>
    </row>
    <row r="22" spans="1:8" x14ac:dyDescent="0.2">
      <c r="A22" s="408"/>
      <c r="B22" s="408"/>
      <c r="C22" s="408"/>
      <c r="D22" s="408"/>
      <c r="E22" s="408"/>
      <c r="F22" s="408"/>
      <c r="G22" s="408"/>
      <c r="H22" s="408"/>
    </row>
    <row r="23" spans="1:8" x14ac:dyDescent="0.2">
      <c r="A23" s="408"/>
      <c r="B23" s="408"/>
      <c r="C23" s="408"/>
      <c r="D23" s="408"/>
      <c r="E23" s="408"/>
      <c r="F23" s="408"/>
      <c r="G23" s="408"/>
      <c r="H23" s="408"/>
    </row>
    <row r="24" spans="1:8" x14ac:dyDescent="0.2">
      <c r="A24" s="408"/>
      <c r="B24" s="408"/>
      <c r="C24" s="408"/>
      <c r="D24" s="408"/>
      <c r="E24" s="408"/>
      <c r="F24" s="408"/>
      <c r="G24" s="408"/>
      <c r="H24" s="408"/>
    </row>
    <row r="25" spans="1:8" x14ac:dyDescent="0.2">
      <c r="A25" s="408"/>
      <c r="B25" s="408"/>
      <c r="C25" s="408"/>
      <c r="D25" s="408"/>
      <c r="E25" s="408"/>
      <c r="F25" s="408"/>
      <c r="G25" s="408"/>
      <c r="H25" s="408"/>
    </row>
    <row r="26" spans="1:8" x14ac:dyDescent="0.2">
      <c r="A26" s="408"/>
      <c r="B26" s="408"/>
      <c r="C26" s="408"/>
      <c r="D26" s="408"/>
      <c r="E26" s="408"/>
      <c r="F26" s="408"/>
      <c r="G26" s="408"/>
      <c r="H26" s="40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Лист1!Заголовки_для_друку</vt:lpstr>
      <vt:lpstr>Лист1!Область_друку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User</cp:lastModifiedBy>
  <cp:lastPrinted>2025-01-07T13:51:33Z</cp:lastPrinted>
  <dcterms:created xsi:type="dcterms:W3CDTF">2008-06-19T08:03:43Z</dcterms:created>
  <dcterms:modified xsi:type="dcterms:W3CDTF">2025-02-20T09:37:27Z</dcterms:modified>
</cp:coreProperties>
</file>