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5195" windowHeight="11640" tabRatio="454"/>
  </bookViews>
  <sheets>
    <sheet name="Лист1" sheetId="1" r:id="rId1"/>
  </sheets>
  <definedNames>
    <definedName name="_xlnm._FilterDatabase" localSheetId="0" hidden="1">Лист1!$A$6:$AL$319</definedName>
    <definedName name="_xlnm.Print_Titles" localSheetId="0">Лист1!$7:$7</definedName>
    <definedName name="_xlnm.Print_Area" localSheetId="0">Лист1!$C$1:$M$319</definedName>
  </definedNames>
  <calcPr calcId="145621"/>
</workbook>
</file>

<file path=xl/calcChain.xml><?xml version="1.0" encoding="utf-8"?>
<calcChain xmlns="http://schemas.openxmlformats.org/spreadsheetml/2006/main">
  <c r="K386" i="1" l="1"/>
  <c r="K48" i="1"/>
  <c r="K26" i="1"/>
  <c r="K50" i="1"/>
  <c r="K154" i="1"/>
  <c r="K175" i="1"/>
  <c r="M296" i="1"/>
  <c r="L296" i="1"/>
  <c r="M295" i="1"/>
  <c r="L295" i="1"/>
  <c r="M299" i="1"/>
  <c r="L299" i="1"/>
  <c r="M305" i="1"/>
  <c r="L305" i="1"/>
  <c r="M300" i="1"/>
  <c r="L300" i="1"/>
  <c r="K207" i="1" l="1"/>
  <c r="M306" i="1" l="1"/>
  <c r="L306" i="1"/>
  <c r="M90" i="1" l="1"/>
  <c r="M91" i="1"/>
  <c r="L90" i="1"/>
  <c r="L91" i="1"/>
  <c r="L92" i="1"/>
  <c r="M92" i="1"/>
  <c r="K91" i="1"/>
  <c r="K90" i="1"/>
  <c r="M225" i="1" l="1"/>
  <c r="L225" i="1"/>
  <c r="K378" i="1" l="1"/>
  <c r="K370" i="1"/>
  <c r="M278" i="1" l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H278" i="1"/>
  <c r="AI278" i="1"/>
  <c r="AJ278" i="1"/>
  <c r="AK278" i="1"/>
  <c r="AL278" i="1"/>
  <c r="AM278" i="1"/>
  <c r="AN278" i="1"/>
  <c r="AO278" i="1"/>
  <c r="AP278" i="1"/>
  <c r="AQ278" i="1"/>
  <c r="AR278" i="1"/>
  <c r="AS278" i="1"/>
  <c r="AT278" i="1"/>
  <c r="AU278" i="1"/>
  <c r="AV278" i="1"/>
  <c r="AW278" i="1"/>
  <c r="AX278" i="1"/>
  <c r="AY278" i="1"/>
  <c r="AZ278" i="1"/>
  <c r="BA278" i="1"/>
  <c r="BB278" i="1"/>
  <c r="BC278" i="1"/>
  <c r="BD278" i="1"/>
  <c r="BE278" i="1"/>
  <c r="BF278" i="1"/>
  <c r="L278" i="1"/>
  <c r="K274" i="1"/>
  <c r="K138" i="1"/>
  <c r="K221" i="1"/>
  <c r="K56" i="1"/>
  <c r="K55" i="1"/>
  <c r="K20" i="1"/>
  <c r="K101" i="1"/>
  <c r="K86" i="1"/>
  <c r="M77" i="1"/>
  <c r="L77" i="1"/>
  <c r="K39" i="1"/>
  <c r="K63" i="1"/>
  <c r="K65" i="1" l="1"/>
  <c r="K61" i="1"/>
  <c r="K60" i="1"/>
  <c r="M178" i="1"/>
  <c r="L178" i="1"/>
  <c r="K305" i="1"/>
  <c r="K17" i="1"/>
  <c r="K199" i="1" l="1"/>
  <c r="K190" i="1"/>
  <c r="L25" i="1"/>
  <c r="M26" i="1"/>
  <c r="L26" i="1"/>
  <c r="K11" i="1" l="1"/>
  <c r="K12" i="1"/>
  <c r="M122" i="1" l="1"/>
  <c r="L122" i="1"/>
  <c r="K122" i="1"/>
  <c r="M95" i="1" l="1"/>
  <c r="L95" i="1"/>
  <c r="L46" i="1" l="1"/>
  <c r="N142" i="1" l="1"/>
  <c r="AK142" i="1" s="1"/>
  <c r="L142" i="1"/>
  <c r="J142" i="1" s="1"/>
  <c r="A142" i="1" s="1"/>
  <c r="K276" i="1" l="1"/>
  <c r="K281" i="1" l="1"/>
  <c r="M294" i="1"/>
  <c r="L294" i="1"/>
  <c r="J294" i="1"/>
  <c r="A294" i="1" s="1"/>
  <c r="K73" i="1" l="1"/>
  <c r="K72" i="1" s="1"/>
  <c r="M73" i="1"/>
  <c r="M72" i="1" s="1"/>
  <c r="L73" i="1"/>
  <c r="L72" i="1" s="1"/>
  <c r="J78" i="1"/>
  <c r="A78" i="1" s="1"/>
  <c r="L370" i="1"/>
  <c r="M370" i="1"/>
  <c r="J154" i="1" l="1"/>
  <c r="A154" i="1" s="1"/>
  <c r="K150" i="1"/>
  <c r="J150" i="1" s="1"/>
  <c r="A150" i="1" s="1"/>
  <c r="M149" i="1"/>
  <c r="M148" i="1" s="1"/>
  <c r="L149" i="1"/>
  <c r="L148" i="1" s="1"/>
  <c r="M191" i="1"/>
  <c r="L191" i="1"/>
  <c r="J77" i="1"/>
  <c r="A77" i="1" s="1"/>
  <c r="K277" i="1"/>
  <c r="K51" i="1"/>
  <c r="K46" i="1"/>
  <c r="J49" i="1"/>
  <c r="A49" i="1" s="1"/>
  <c r="K149" i="1" l="1"/>
  <c r="M256" i="1"/>
  <c r="L256" i="1"/>
  <c r="M107" i="1"/>
  <c r="L107" i="1"/>
  <c r="J149" i="1" l="1"/>
  <c r="A149" i="1" s="1"/>
  <c r="K148" i="1"/>
  <c r="J148" i="1" s="1"/>
  <c r="A148" i="1" s="1"/>
  <c r="K273" i="1"/>
  <c r="J177" i="1" l="1"/>
  <c r="A177" i="1" s="1"/>
  <c r="K105" i="1"/>
  <c r="M175" i="1" l="1"/>
  <c r="L175" i="1"/>
  <c r="M176" i="1"/>
  <c r="L176" i="1"/>
  <c r="J175" i="1" l="1"/>
  <c r="K164" i="1" l="1"/>
  <c r="J176" i="1" l="1"/>
  <c r="A176" i="1" l="1"/>
  <c r="K83" i="1" l="1"/>
  <c r="L273" i="1" l="1"/>
  <c r="L272" i="1" s="1"/>
  <c r="K211" i="1" l="1"/>
  <c r="M189" i="1"/>
  <c r="M188" i="1" s="1"/>
  <c r="M187" i="1" s="1"/>
  <c r="K189" i="1"/>
  <c r="K188" i="1" s="1"/>
  <c r="K187" i="1" s="1"/>
  <c r="L189" i="1"/>
  <c r="J190" i="1"/>
  <c r="A190" i="1" s="1"/>
  <c r="J189" i="1" l="1"/>
  <c r="M291" i="1" l="1"/>
  <c r="L291" i="1"/>
  <c r="J306" i="1" l="1"/>
  <c r="A306" i="1" s="1"/>
  <c r="K216" i="1" l="1"/>
  <c r="J75" i="1" l="1"/>
  <c r="A75" i="1" s="1"/>
  <c r="K74" i="1"/>
  <c r="J101" i="1"/>
  <c r="A101" i="1" s="1"/>
  <c r="J102" i="1"/>
  <c r="A102" i="1" s="1"/>
  <c r="J103" i="1"/>
  <c r="A103" i="1" s="1"/>
  <c r="J104" i="1"/>
  <c r="A104" i="1" s="1"/>
  <c r="M81" i="1"/>
  <c r="L81" i="1"/>
  <c r="A99" i="1"/>
  <c r="J91" i="1"/>
  <c r="A91" i="1" s="1"/>
  <c r="J96" i="1"/>
  <c r="J97" i="1"/>
  <c r="J98" i="1"/>
  <c r="A98" i="1" s="1"/>
  <c r="J90" i="1" l="1"/>
  <c r="A90" i="1" s="1"/>
  <c r="J95" i="1"/>
  <c r="A95" i="1" s="1"/>
  <c r="M159" i="1"/>
  <c r="J107" i="1" l="1"/>
  <c r="J106" i="1"/>
  <c r="C12" i="1" l="1"/>
  <c r="J13" i="1"/>
  <c r="A13" i="1" s="1"/>
  <c r="M211" i="1" l="1"/>
  <c r="L211" i="1"/>
  <c r="J403" i="1" l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H375" i="1"/>
  <c r="J374" i="1"/>
  <c r="J373" i="1"/>
  <c r="J372" i="1"/>
  <c r="J371" i="1"/>
  <c r="M215" i="1" l="1"/>
  <c r="L215" i="1"/>
  <c r="K76" i="1" l="1"/>
  <c r="M59" i="1" l="1"/>
  <c r="L59" i="1"/>
  <c r="J68" i="1"/>
  <c r="M67" i="1"/>
  <c r="L67" i="1"/>
  <c r="K67" i="1"/>
  <c r="K66" i="1" s="1"/>
  <c r="M66" i="1"/>
  <c r="L66" i="1"/>
  <c r="K59" i="1"/>
  <c r="J66" i="1" l="1"/>
  <c r="J67" i="1"/>
  <c r="J300" i="1" l="1"/>
  <c r="A300" i="1" s="1"/>
  <c r="M125" i="1"/>
  <c r="M124" i="1" s="1"/>
  <c r="K125" i="1"/>
  <c r="K124" i="1" s="1"/>
  <c r="L125" i="1"/>
  <c r="L124" i="1" s="1"/>
  <c r="C126" i="1"/>
  <c r="J127" i="1"/>
  <c r="A127" i="1" s="1"/>
  <c r="N134" i="1"/>
  <c r="AK134" i="1" s="1"/>
  <c r="J134" i="1"/>
  <c r="A134" i="1" s="1"/>
  <c r="J82" i="1"/>
  <c r="A82" i="1" s="1"/>
  <c r="J83" i="1"/>
  <c r="J84" i="1"/>
  <c r="A84" i="1" s="1"/>
  <c r="J85" i="1"/>
  <c r="A85" i="1" s="1"/>
  <c r="J87" i="1"/>
  <c r="A87" i="1" s="1"/>
  <c r="J88" i="1"/>
  <c r="A88" i="1" s="1"/>
  <c r="J89" i="1"/>
  <c r="A89" i="1" s="1"/>
  <c r="J92" i="1"/>
  <c r="A92" i="1" s="1"/>
  <c r="J93" i="1"/>
  <c r="A93" i="1" s="1"/>
  <c r="J94" i="1"/>
  <c r="A94" i="1" s="1"/>
  <c r="A96" i="1"/>
  <c r="A97" i="1"/>
  <c r="J100" i="1"/>
  <c r="A100" i="1" s="1"/>
  <c r="J105" i="1"/>
  <c r="A105" i="1" s="1"/>
  <c r="A106" i="1"/>
  <c r="A107" i="1"/>
  <c r="J108" i="1"/>
  <c r="A108" i="1" s="1"/>
  <c r="M80" i="1"/>
  <c r="M79" i="1" s="1"/>
  <c r="L80" i="1"/>
  <c r="L79" i="1" s="1"/>
  <c r="K166" i="1"/>
  <c r="K170" i="1"/>
  <c r="N180" i="1"/>
  <c r="AK180" i="1" s="1"/>
  <c r="J180" i="1"/>
  <c r="A180" i="1" s="1"/>
  <c r="J295" i="1"/>
  <c r="A295" i="1" s="1"/>
  <c r="K58" i="1"/>
  <c r="K57" i="1" s="1"/>
  <c r="M115" i="1"/>
  <c r="M114" i="1" s="1"/>
  <c r="M120" i="1"/>
  <c r="M119" i="1" s="1"/>
  <c r="M129" i="1"/>
  <c r="M128" i="1" s="1"/>
  <c r="L120" i="1"/>
  <c r="L119" i="1" s="1"/>
  <c r="L115" i="1"/>
  <c r="L114" i="1" s="1"/>
  <c r="L129" i="1"/>
  <c r="L128" i="1" s="1"/>
  <c r="K120" i="1"/>
  <c r="K119" i="1" s="1"/>
  <c r="K115" i="1"/>
  <c r="K114" i="1" s="1"/>
  <c r="K129" i="1"/>
  <c r="K128" i="1" s="1"/>
  <c r="J126" i="1"/>
  <c r="A126" i="1" s="1"/>
  <c r="K137" i="1"/>
  <c r="K136" i="1" s="1"/>
  <c r="K135" i="1" s="1"/>
  <c r="J123" i="1"/>
  <c r="A123" i="1" s="1"/>
  <c r="J278" i="1"/>
  <c r="A278" i="1" s="1"/>
  <c r="J277" i="1"/>
  <c r="A277" i="1" s="1"/>
  <c r="J276" i="1"/>
  <c r="A276" i="1" s="1"/>
  <c r="J275" i="1"/>
  <c r="A275" i="1" s="1"/>
  <c r="J274" i="1"/>
  <c r="A274" i="1" s="1"/>
  <c r="M158" i="1"/>
  <c r="M157" i="1" s="1"/>
  <c r="M10" i="1"/>
  <c r="M9" i="1" s="1"/>
  <c r="M20" i="1"/>
  <c r="M15" i="1" s="1"/>
  <c r="M14" i="1" s="1"/>
  <c r="M25" i="1"/>
  <c r="M24" i="1" s="1"/>
  <c r="M23" i="1" s="1"/>
  <c r="M34" i="1"/>
  <c r="M33" i="1" s="1"/>
  <c r="M32" i="1" s="1"/>
  <c r="M42" i="1"/>
  <c r="M41" i="1" s="1"/>
  <c r="M40" i="1" s="1"/>
  <c r="M46" i="1"/>
  <c r="M45" i="1" s="1"/>
  <c r="M44" i="1" s="1"/>
  <c r="M54" i="1"/>
  <c r="M53" i="1" s="1"/>
  <c r="M52" i="1" s="1"/>
  <c r="M58" i="1"/>
  <c r="M57" i="1" s="1"/>
  <c r="M71" i="1"/>
  <c r="M137" i="1"/>
  <c r="M136" i="1" s="1"/>
  <c r="M135" i="1" s="1"/>
  <c r="M140" i="1"/>
  <c r="M139" i="1" s="1"/>
  <c r="M152" i="1"/>
  <c r="M151" i="1" s="1"/>
  <c r="M147" i="1" s="1"/>
  <c r="M193" i="1"/>
  <c r="M192" i="1" s="1"/>
  <c r="M196" i="1"/>
  <c r="M201" i="1"/>
  <c r="M200" i="1" s="1"/>
  <c r="M205" i="1"/>
  <c r="M204" i="1" s="1"/>
  <c r="M210" i="1"/>
  <c r="M209" i="1" s="1"/>
  <c r="M208" i="1" s="1"/>
  <c r="M214" i="1"/>
  <c r="M213" i="1" s="1"/>
  <c r="M212" i="1" s="1"/>
  <c r="M220" i="1"/>
  <c r="M219" i="1" s="1"/>
  <c r="M218" i="1" s="1"/>
  <c r="M224" i="1"/>
  <c r="M223" i="1" s="1"/>
  <c r="M222" i="1" s="1"/>
  <c r="M228" i="1"/>
  <c r="M227" i="1" s="1"/>
  <c r="M226" i="1" s="1"/>
  <c r="M246" i="1"/>
  <c r="M250" i="1"/>
  <c r="M260" i="1"/>
  <c r="M259" i="1" s="1"/>
  <c r="M273" i="1"/>
  <c r="M272" i="1" s="1"/>
  <c r="M287" i="1"/>
  <c r="M288" i="1"/>
  <c r="M303" i="1"/>
  <c r="M304" i="1"/>
  <c r="M269" i="1"/>
  <c r="M268" i="1" s="1"/>
  <c r="M308" i="1"/>
  <c r="M307" i="1" s="1"/>
  <c r="M38" i="1"/>
  <c r="M37" i="1" s="1"/>
  <c r="M36" i="1" s="1"/>
  <c r="M133" i="1"/>
  <c r="M132" i="1" s="1"/>
  <c r="M131" i="1" s="1"/>
  <c r="M326" i="1"/>
  <c r="L133" i="1"/>
  <c r="L132" i="1" s="1"/>
  <c r="L131" i="1" s="1"/>
  <c r="K133" i="1"/>
  <c r="K132" i="1" s="1"/>
  <c r="K272" i="1"/>
  <c r="K152" i="1"/>
  <c r="K151" i="1" s="1"/>
  <c r="K147" i="1" s="1"/>
  <c r="J156" i="1"/>
  <c r="A156" i="1" s="1"/>
  <c r="J155" i="1"/>
  <c r="A155" i="1" s="1"/>
  <c r="K174" i="1"/>
  <c r="L287" i="1"/>
  <c r="L288" i="1"/>
  <c r="L303" i="1"/>
  <c r="L304" i="1"/>
  <c r="L152" i="1"/>
  <c r="L151" i="1" s="1"/>
  <c r="L147" i="1" s="1"/>
  <c r="K289" i="1"/>
  <c r="K291" i="1"/>
  <c r="K326" i="1"/>
  <c r="N298" i="1"/>
  <c r="AK298" i="1" s="1"/>
  <c r="J298" i="1"/>
  <c r="A298" i="1" s="1"/>
  <c r="J293" i="1"/>
  <c r="A293" i="1" s="1"/>
  <c r="J163" i="1"/>
  <c r="A163" i="1" s="1"/>
  <c r="L326" i="1"/>
  <c r="L24" i="1"/>
  <c r="L23" i="1" s="1"/>
  <c r="K25" i="1"/>
  <c r="K24" i="1" s="1"/>
  <c r="K23" i="1" s="1"/>
  <c r="J29" i="1"/>
  <c r="A29" i="1" s="1"/>
  <c r="J30" i="1"/>
  <c r="A30" i="1" s="1"/>
  <c r="J352" i="1"/>
  <c r="J351" i="1"/>
  <c r="M141" i="1"/>
  <c r="L141" i="1"/>
  <c r="L140" i="1"/>
  <c r="L139" i="1" s="1"/>
  <c r="J359" i="1"/>
  <c r="K246" i="1"/>
  <c r="K233" i="1" s="1"/>
  <c r="K232" i="1" s="1"/>
  <c r="K260" i="1"/>
  <c r="K259" i="1" s="1"/>
  <c r="K269" i="1"/>
  <c r="K268" i="1" s="1"/>
  <c r="K308" i="1"/>
  <c r="K307" i="1" s="1"/>
  <c r="K54" i="1"/>
  <c r="K53" i="1" s="1"/>
  <c r="K52" i="1" s="1"/>
  <c r="K10" i="1"/>
  <c r="K9" i="1" s="1"/>
  <c r="K15" i="1"/>
  <c r="K14" i="1" s="1"/>
  <c r="K34" i="1"/>
  <c r="K33" i="1" s="1"/>
  <c r="K42" i="1"/>
  <c r="K41" i="1" s="1"/>
  <c r="K40" i="1" s="1"/>
  <c r="K45" i="1"/>
  <c r="K44" i="1" s="1"/>
  <c r="K140" i="1"/>
  <c r="K139" i="1" s="1"/>
  <c r="K144" i="1"/>
  <c r="K143" i="1" s="1"/>
  <c r="J143" i="1" s="1"/>
  <c r="A143" i="1" s="1"/>
  <c r="K181" i="1"/>
  <c r="K184" i="1"/>
  <c r="K193" i="1"/>
  <c r="K192" i="1" s="1"/>
  <c r="K197" i="1"/>
  <c r="K196" i="1" s="1"/>
  <c r="K201" i="1"/>
  <c r="K200" i="1" s="1"/>
  <c r="K205" i="1"/>
  <c r="K204" i="1" s="1"/>
  <c r="K210" i="1"/>
  <c r="K209" i="1" s="1"/>
  <c r="K208" i="1" s="1"/>
  <c r="K214" i="1"/>
  <c r="K213" i="1" s="1"/>
  <c r="K212" i="1" s="1"/>
  <c r="K220" i="1"/>
  <c r="K219" i="1" s="1"/>
  <c r="K218" i="1" s="1"/>
  <c r="K224" i="1"/>
  <c r="K223" i="1" s="1"/>
  <c r="K222" i="1" s="1"/>
  <c r="K228" i="1"/>
  <c r="K227" i="1" s="1"/>
  <c r="K226" i="1" s="1"/>
  <c r="K38" i="1"/>
  <c r="K37" i="1" s="1"/>
  <c r="K36" i="1" s="1"/>
  <c r="L246" i="1"/>
  <c r="L250" i="1"/>
  <c r="L260" i="1"/>
  <c r="L259" i="1" s="1"/>
  <c r="L269" i="1"/>
  <c r="L268" i="1" s="1"/>
  <c r="L308" i="1"/>
  <c r="L307" i="1" s="1"/>
  <c r="L10" i="1"/>
  <c r="L9" i="1" s="1"/>
  <c r="L20" i="1"/>
  <c r="J20" i="1" s="1"/>
  <c r="A20" i="1" s="1"/>
  <c r="L34" i="1"/>
  <c r="L33" i="1" s="1"/>
  <c r="L32" i="1" s="1"/>
  <c r="L42" i="1"/>
  <c r="L41" i="1" s="1"/>
  <c r="L45" i="1"/>
  <c r="L44" i="1" s="1"/>
  <c r="L54" i="1"/>
  <c r="L53" i="1" s="1"/>
  <c r="L52" i="1" s="1"/>
  <c r="L58" i="1"/>
  <c r="L57" i="1" s="1"/>
  <c r="L71" i="1"/>
  <c r="L137" i="1"/>
  <c r="L136" i="1" s="1"/>
  <c r="L135" i="1" s="1"/>
  <c r="L166" i="1"/>
  <c r="L170" i="1"/>
  <c r="L169" i="1"/>
  <c r="L179" i="1"/>
  <c r="L181" i="1"/>
  <c r="L184" i="1"/>
  <c r="A189" i="1"/>
  <c r="L193" i="1"/>
  <c r="L192" i="1" s="1"/>
  <c r="L196" i="1"/>
  <c r="L201" i="1"/>
  <c r="L200" i="1" s="1"/>
  <c r="L205" i="1"/>
  <c r="L204" i="1" s="1"/>
  <c r="L210" i="1"/>
  <c r="L209" i="1" s="1"/>
  <c r="L208" i="1" s="1"/>
  <c r="L214" i="1"/>
  <c r="L213" i="1" s="1"/>
  <c r="L212" i="1" s="1"/>
  <c r="L220" i="1"/>
  <c r="L219" i="1" s="1"/>
  <c r="L218" i="1" s="1"/>
  <c r="L224" i="1"/>
  <c r="L223" i="1" s="1"/>
  <c r="L222" i="1" s="1"/>
  <c r="L228" i="1"/>
  <c r="L227" i="1" s="1"/>
  <c r="L226" i="1" s="1"/>
  <c r="L38" i="1"/>
  <c r="L37" i="1" s="1"/>
  <c r="L36" i="1" s="1"/>
  <c r="N132" i="1"/>
  <c r="AK132" i="1" s="1"/>
  <c r="N131" i="1"/>
  <c r="AK131" i="1" s="1"/>
  <c r="N83" i="1"/>
  <c r="AK83" i="1" s="1"/>
  <c r="J327" i="1"/>
  <c r="J146" i="1"/>
  <c r="A146" i="1" s="1"/>
  <c r="K145" i="1"/>
  <c r="J145" i="1" s="1"/>
  <c r="A145" i="1" s="1"/>
  <c r="J217" i="1"/>
  <c r="A217" i="1" s="1"/>
  <c r="J27" i="1"/>
  <c r="A27" i="1" s="1"/>
  <c r="J116" i="1"/>
  <c r="A116" i="1" s="1"/>
  <c r="N39" i="1"/>
  <c r="AK39" i="1" s="1"/>
  <c r="J39" i="1"/>
  <c r="A39" i="1" s="1"/>
  <c r="N37" i="1"/>
  <c r="AK37" i="1" s="1"/>
  <c r="N36" i="1"/>
  <c r="AK36" i="1" s="1"/>
  <c r="N26" i="1"/>
  <c r="AK26" i="1" s="1"/>
  <c r="J26" i="1"/>
  <c r="A26" i="1" s="1"/>
  <c r="J122" i="1"/>
  <c r="A122" i="1" s="1"/>
  <c r="J153" i="1"/>
  <c r="A153" i="1" s="1"/>
  <c r="J130" i="1"/>
  <c r="A130" i="1" s="1"/>
  <c r="J296" i="1"/>
  <c r="A296" i="1" s="1"/>
  <c r="J297" i="1"/>
  <c r="A297" i="1" s="1"/>
  <c r="N191" i="1"/>
  <c r="AK191" i="1" s="1"/>
  <c r="J191" i="1"/>
  <c r="A191" i="1" s="1"/>
  <c r="J61" i="1"/>
  <c r="A61" i="1" s="1"/>
  <c r="N50" i="1"/>
  <c r="AK50" i="1" s="1"/>
  <c r="J50" i="1"/>
  <c r="A50" i="1" s="1"/>
  <c r="J51" i="1"/>
  <c r="A51" i="1" s="1"/>
  <c r="J11" i="1"/>
  <c r="A11" i="1" s="1"/>
  <c r="J12" i="1"/>
  <c r="A12" i="1" s="1"/>
  <c r="J16" i="1"/>
  <c r="A16" i="1" s="1"/>
  <c r="J17" i="1"/>
  <c r="A17" i="1" s="1"/>
  <c r="J18" i="1"/>
  <c r="A18" i="1" s="1"/>
  <c r="J19" i="1"/>
  <c r="A19" i="1" s="1"/>
  <c r="J21" i="1"/>
  <c r="A21" i="1" s="1"/>
  <c r="J22" i="1"/>
  <c r="A22" i="1" s="1"/>
  <c r="J28" i="1"/>
  <c r="A28" i="1" s="1"/>
  <c r="J35" i="1"/>
  <c r="A35" i="1" s="1"/>
  <c r="J43" i="1"/>
  <c r="A43" i="1" s="1"/>
  <c r="J47" i="1"/>
  <c r="A47" i="1" s="1"/>
  <c r="J48" i="1"/>
  <c r="A48" i="1" s="1"/>
  <c r="J55" i="1"/>
  <c r="A55" i="1" s="1"/>
  <c r="J56" i="1"/>
  <c r="A56" i="1" s="1"/>
  <c r="J60" i="1"/>
  <c r="A60" i="1" s="1"/>
  <c r="J62" i="1"/>
  <c r="A62" i="1" s="1"/>
  <c r="J63" i="1"/>
  <c r="A63" i="1" s="1"/>
  <c r="J64" i="1"/>
  <c r="A64" i="1" s="1"/>
  <c r="J65" i="1"/>
  <c r="A65" i="1" s="1"/>
  <c r="A66" i="1"/>
  <c r="A67" i="1"/>
  <c r="A68" i="1"/>
  <c r="J69" i="1"/>
  <c r="A69" i="1" s="1"/>
  <c r="J70" i="1"/>
  <c r="A70" i="1" s="1"/>
  <c r="J74" i="1"/>
  <c r="A74" i="1" s="1"/>
  <c r="J76" i="1"/>
  <c r="A76" i="1" s="1"/>
  <c r="J109" i="1"/>
  <c r="A109" i="1" s="1"/>
  <c r="K110" i="1"/>
  <c r="L111" i="1"/>
  <c r="J111" i="1" s="1"/>
  <c r="A111" i="1" s="1"/>
  <c r="L112" i="1"/>
  <c r="J112" i="1" s="1"/>
  <c r="A112" i="1" s="1"/>
  <c r="J117" i="1"/>
  <c r="A117" i="1" s="1"/>
  <c r="A118" i="1"/>
  <c r="J121" i="1"/>
  <c r="A121" i="1" s="1"/>
  <c r="J138" i="1"/>
  <c r="A138" i="1" s="1"/>
  <c r="K141" i="1"/>
  <c r="J160" i="1"/>
  <c r="A160" i="1" s="1"/>
  <c r="J161" i="1"/>
  <c r="A161" i="1" s="1"/>
  <c r="J162" i="1"/>
  <c r="A162" i="1" s="1"/>
  <c r="J164" i="1"/>
  <c r="A164" i="1" s="1"/>
  <c r="J165" i="1"/>
  <c r="A165" i="1" s="1"/>
  <c r="J167" i="1"/>
  <c r="A167" i="1" s="1"/>
  <c r="J168" i="1"/>
  <c r="A168" i="1" s="1"/>
  <c r="J169" i="1"/>
  <c r="A169" i="1" s="1"/>
  <c r="J171" i="1"/>
  <c r="A171" i="1" s="1"/>
  <c r="J172" i="1"/>
  <c r="A172" i="1" s="1"/>
  <c r="J173" i="1"/>
  <c r="A173" i="1" s="1"/>
  <c r="J174" i="1"/>
  <c r="A174" i="1" s="1"/>
  <c r="A175" i="1"/>
  <c r="J178" i="1"/>
  <c r="A178" i="1" s="1"/>
  <c r="J179" i="1"/>
  <c r="A179" i="1" s="1"/>
  <c r="K182" i="1"/>
  <c r="L182" i="1"/>
  <c r="J183" i="1"/>
  <c r="A183" i="1" s="1"/>
  <c r="K185" i="1"/>
  <c r="L185" i="1"/>
  <c r="J186" i="1"/>
  <c r="A186" i="1" s="1"/>
  <c r="K194" i="1"/>
  <c r="L194" i="1"/>
  <c r="J195" i="1"/>
  <c r="A195" i="1" s="1"/>
  <c r="K198" i="1"/>
  <c r="L198" i="1"/>
  <c r="J199" i="1"/>
  <c r="A199" i="1" s="1"/>
  <c r="K202" i="1"/>
  <c r="L202" i="1"/>
  <c r="J203" i="1"/>
  <c r="A203" i="1" s="1"/>
  <c r="K206" i="1"/>
  <c r="L206" i="1"/>
  <c r="J207" i="1"/>
  <c r="A207" i="1" s="1"/>
  <c r="J211" i="1"/>
  <c r="A211" i="1" s="1"/>
  <c r="J215" i="1"/>
  <c r="A215" i="1" s="1"/>
  <c r="J216" i="1"/>
  <c r="A216" i="1" s="1"/>
  <c r="J221" i="1"/>
  <c r="A221" i="1" s="1"/>
  <c r="J225" i="1"/>
  <c r="A225" i="1" s="1"/>
  <c r="J229" i="1"/>
  <c r="A229" i="1" s="1"/>
  <c r="J230" i="1"/>
  <c r="A230" i="1" s="1"/>
  <c r="J234" i="1"/>
  <c r="A234" i="1" s="1"/>
  <c r="J235" i="1"/>
  <c r="A235" i="1" s="1"/>
  <c r="J236" i="1"/>
  <c r="A236" i="1" s="1"/>
  <c r="J237" i="1"/>
  <c r="A237" i="1" s="1"/>
  <c r="J238" i="1"/>
  <c r="A238" i="1" s="1"/>
  <c r="J239" i="1"/>
  <c r="A239" i="1" s="1"/>
  <c r="J240" i="1"/>
  <c r="A240" i="1" s="1"/>
  <c r="J241" i="1"/>
  <c r="A241" i="1" s="1"/>
  <c r="J242" i="1"/>
  <c r="A242" i="1" s="1"/>
  <c r="J243" i="1"/>
  <c r="A243" i="1" s="1"/>
  <c r="J244" i="1"/>
  <c r="A244" i="1" s="1"/>
  <c r="J245" i="1"/>
  <c r="A245" i="1" s="1"/>
  <c r="J247" i="1"/>
  <c r="A247" i="1" s="1"/>
  <c r="J248" i="1"/>
  <c r="A248" i="1" s="1"/>
  <c r="J249" i="1"/>
  <c r="A249" i="1" s="1"/>
  <c r="J250" i="1"/>
  <c r="A250" i="1" s="1"/>
  <c r="J251" i="1"/>
  <c r="A251" i="1" s="1"/>
  <c r="J252" i="1"/>
  <c r="A252" i="1" s="1"/>
  <c r="J253" i="1"/>
  <c r="A253" i="1" s="1"/>
  <c r="J254" i="1"/>
  <c r="A254" i="1" s="1"/>
  <c r="J255" i="1"/>
  <c r="A255" i="1" s="1"/>
  <c r="J256" i="1"/>
  <c r="A256" i="1" s="1"/>
  <c r="J257" i="1"/>
  <c r="A257" i="1" s="1"/>
  <c r="J258" i="1"/>
  <c r="A258" i="1" s="1"/>
  <c r="J261" i="1"/>
  <c r="A261" i="1" s="1"/>
  <c r="J262" i="1"/>
  <c r="A262" i="1" s="1"/>
  <c r="J263" i="1"/>
  <c r="A263" i="1" s="1"/>
  <c r="J264" i="1"/>
  <c r="A264" i="1" s="1"/>
  <c r="J265" i="1"/>
  <c r="A265" i="1" s="1"/>
  <c r="J266" i="1"/>
  <c r="A266" i="1" s="1"/>
  <c r="J267" i="1"/>
  <c r="A267" i="1" s="1"/>
  <c r="J270" i="1"/>
  <c r="A270" i="1" s="1"/>
  <c r="J271" i="1"/>
  <c r="A271" i="1" s="1"/>
  <c r="J279" i="1"/>
  <c r="A279" i="1" s="1"/>
  <c r="J282" i="1"/>
  <c r="A282" i="1" s="1"/>
  <c r="J283" i="1"/>
  <c r="A283" i="1" s="1"/>
  <c r="J284" i="1"/>
  <c r="A284" i="1" s="1"/>
  <c r="J285" i="1"/>
  <c r="A285" i="1" s="1"/>
  <c r="J286" i="1"/>
  <c r="A286" i="1" s="1"/>
  <c r="J287" i="1"/>
  <c r="A287" i="1" s="1"/>
  <c r="J288" i="1"/>
  <c r="A288" i="1" s="1"/>
  <c r="J289" i="1"/>
  <c r="A289" i="1" s="1"/>
  <c r="J290" i="1"/>
  <c r="A290" i="1" s="1"/>
  <c r="J291" i="1"/>
  <c r="A291" i="1" s="1"/>
  <c r="J292" i="1"/>
  <c r="A292" i="1" s="1"/>
  <c r="J299" i="1"/>
  <c r="A299" i="1" s="1"/>
  <c r="J301" i="1"/>
  <c r="A301" i="1" s="1"/>
  <c r="J302" i="1"/>
  <c r="A302" i="1" s="1"/>
  <c r="J303" i="1"/>
  <c r="A303" i="1" s="1"/>
  <c r="J304" i="1"/>
  <c r="A304" i="1" s="1"/>
  <c r="J305" i="1"/>
  <c r="A305" i="1" s="1"/>
  <c r="J309" i="1"/>
  <c r="A309" i="1" s="1"/>
  <c r="J310" i="1"/>
  <c r="A310" i="1" s="1"/>
  <c r="N309" i="1"/>
  <c r="AK309" i="1" s="1"/>
  <c r="N307" i="1"/>
  <c r="AK307" i="1" s="1"/>
  <c r="N213" i="1"/>
  <c r="AK213" i="1" s="1"/>
  <c r="N21" i="1"/>
  <c r="AK21" i="1" s="1"/>
  <c r="J358" i="1"/>
  <c r="J357" i="1"/>
  <c r="J356" i="1"/>
  <c r="J355" i="1"/>
  <c r="J354" i="1"/>
  <c r="J353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N146" i="1"/>
  <c r="AK146" i="1" s="1"/>
  <c r="N140" i="1"/>
  <c r="AK140" i="1" s="1"/>
  <c r="N221" i="1"/>
  <c r="AK221" i="1" s="1"/>
  <c r="N153" i="1"/>
  <c r="N152" i="1" s="1"/>
  <c r="N151" i="1" s="1"/>
  <c r="AK151" i="1" s="1"/>
  <c r="M206" i="1"/>
  <c r="N33" i="1"/>
  <c r="AK33" i="1" s="1"/>
  <c r="N32" i="1"/>
  <c r="AK32" i="1" s="1"/>
  <c r="M202" i="1"/>
  <c r="M198" i="1"/>
  <c r="M194" i="1"/>
  <c r="M112" i="1"/>
  <c r="M111" i="1"/>
  <c r="M110" i="1" s="1"/>
  <c r="N261" i="1"/>
  <c r="AK261" i="1" s="1"/>
  <c r="N225" i="1"/>
  <c r="AK225" i="1" s="1"/>
  <c r="N223" i="1"/>
  <c r="AK223" i="1" s="1"/>
  <c r="N222" i="1"/>
  <c r="AK222" i="1" s="1"/>
  <c r="N219" i="1"/>
  <c r="AK219" i="1" s="1"/>
  <c r="N218" i="1"/>
  <c r="AK218" i="1" s="1"/>
  <c r="N105" i="1"/>
  <c r="AK105" i="1" s="1"/>
  <c r="N22" i="1"/>
  <c r="AK22" i="1" s="1"/>
  <c r="N297" i="1"/>
  <c r="AK297" i="1" s="1"/>
  <c r="N216" i="1"/>
  <c r="AK216" i="1" s="1"/>
  <c r="N212" i="1"/>
  <c r="AK212" i="1" s="1"/>
  <c r="N207" i="1"/>
  <c r="AK207" i="1" s="1"/>
  <c r="N205" i="1"/>
  <c r="AK205" i="1" s="1"/>
  <c r="N204" i="1"/>
  <c r="AK204" i="1" s="1"/>
  <c r="N255" i="1"/>
  <c r="AK255" i="1" s="1"/>
  <c r="N48" i="1"/>
  <c r="AK48" i="1" s="1"/>
  <c r="N147" i="1"/>
  <c r="AK147" i="1" s="1"/>
  <c r="N144" i="1"/>
  <c r="AK144" i="1" s="1"/>
  <c r="N143" i="1"/>
  <c r="AK143" i="1" s="1"/>
  <c r="N82" i="1"/>
  <c r="AK82" i="1" s="1"/>
  <c r="N295" i="1"/>
  <c r="AK295" i="1" s="1"/>
  <c r="N284" i="1"/>
  <c r="AK284" i="1" s="1"/>
  <c r="N283" i="1"/>
  <c r="AK283" i="1" s="1"/>
  <c r="N51" i="1"/>
  <c r="AK51" i="1" s="1"/>
  <c r="N305" i="1"/>
  <c r="AK305" i="1" s="1"/>
  <c r="N209" i="1"/>
  <c r="AK209" i="1" s="1"/>
  <c r="N208" i="1"/>
  <c r="AK208" i="1" s="1"/>
  <c r="N45" i="1"/>
  <c r="AK45" i="1" s="1"/>
  <c r="N44" i="1"/>
  <c r="AK44" i="1" s="1"/>
  <c r="N203" i="1"/>
  <c r="AK203" i="1" s="1"/>
  <c r="N201" i="1"/>
  <c r="AK201" i="1" s="1"/>
  <c r="N200" i="1"/>
  <c r="AK200" i="1" s="1"/>
  <c r="N16" i="1"/>
  <c r="AK16" i="1" s="1"/>
  <c r="N291" i="1"/>
  <c r="AK291" i="1" s="1"/>
  <c r="N289" i="1"/>
  <c r="AK289" i="1" s="1"/>
  <c r="Z8" i="1"/>
  <c r="AA8" i="1"/>
  <c r="AA311" i="1" s="1"/>
  <c r="AB8" i="1"/>
  <c r="AB311" i="1" s="1"/>
  <c r="AC8" i="1"/>
  <c r="AC311" i="1" s="1"/>
  <c r="AD8" i="1"/>
  <c r="AD311" i="1" s="1"/>
  <c r="AE8" i="1"/>
  <c r="AE311" i="1" s="1"/>
  <c r="AF8" i="1"/>
  <c r="AF311" i="1" s="1"/>
  <c r="AG8" i="1"/>
  <c r="AG311" i="1" s="1"/>
  <c r="AH8" i="1"/>
  <c r="AH311" i="1" s="1"/>
  <c r="AI8" i="1"/>
  <c r="AI311" i="1" s="1"/>
  <c r="O8" i="1"/>
  <c r="O311" i="1" s="1"/>
  <c r="P8" i="1"/>
  <c r="P311" i="1" s="1"/>
  <c r="Q8" i="1"/>
  <c r="Q311" i="1" s="1"/>
  <c r="R8" i="1"/>
  <c r="R311" i="1" s="1"/>
  <c r="S8" i="1"/>
  <c r="S311" i="1" s="1"/>
  <c r="T8" i="1"/>
  <c r="T311" i="1" s="1"/>
  <c r="U8" i="1"/>
  <c r="U311" i="1" s="1"/>
  <c r="V8" i="1"/>
  <c r="V311" i="1" s="1"/>
  <c r="W8" i="1"/>
  <c r="W311" i="1" s="1"/>
  <c r="N23" i="1"/>
  <c r="AK23" i="1" s="1"/>
  <c r="N40" i="1"/>
  <c r="AK40" i="1" s="1"/>
  <c r="N52" i="1"/>
  <c r="AK52" i="1" s="1"/>
  <c r="N57" i="1"/>
  <c r="AK57" i="1" s="1"/>
  <c r="N79" i="1"/>
  <c r="AK79" i="1" s="1"/>
  <c r="N113" i="1"/>
  <c r="AK113" i="1" s="1"/>
  <c r="N157" i="1"/>
  <c r="AK157" i="1" s="1"/>
  <c r="N187" i="1"/>
  <c r="AK187" i="1" s="1"/>
  <c r="N135" i="1"/>
  <c r="AK135" i="1" s="1"/>
  <c r="N139" i="1"/>
  <c r="AK139" i="1" s="1"/>
  <c r="N196" i="1"/>
  <c r="AK196" i="1" s="1"/>
  <c r="N71" i="1"/>
  <c r="AK71" i="1" s="1"/>
  <c r="N226" i="1"/>
  <c r="AK226" i="1" s="1"/>
  <c r="N231" i="1"/>
  <c r="AK231" i="1" s="1"/>
  <c r="N86" i="1"/>
  <c r="AK86" i="1" s="1"/>
  <c r="N9" i="1"/>
  <c r="AK9" i="1" s="1"/>
  <c r="N11" i="1"/>
  <c r="AK11" i="1" s="1"/>
  <c r="N14" i="1"/>
  <c r="AK14" i="1" s="1"/>
  <c r="N24" i="1"/>
  <c r="AK24" i="1" s="1"/>
  <c r="N28" i="1"/>
  <c r="AK28" i="1" s="1"/>
  <c r="N41" i="1"/>
  <c r="AK41" i="1" s="1"/>
  <c r="N43" i="1"/>
  <c r="AK43" i="1" s="1"/>
  <c r="N53" i="1"/>
  <c r="AK53" i="1" s="1"/>
  <c r="N56" i="1"/>
  <c r="AK56" i="1" s="1"/>
  <c r="N58" i="1"/>
  <c r="AK58" i="1" s="1"/>
  <c r="N60" i="1"/>
  <c r="AK60" i="1" s="1"/>
  <c r="N67" i="1"/>
  <c r="AK67" i="1" s="1"/>
  <c r="N68" i="1"/>
  <c r="AK68" i="1" s="1"/>
  <c r="N70" i="1"/>
  <c r="AK70" i="1" s="1"/>
  <c r="N80" i="1"/>
  <c r="AK80" i="1" s="1"/>
  <c r="N106" i="1"/>
  <c r="AK106" i="1" s="1"/>
  <c r="N107" i="1"/>
  <c r="AK107" i="1" s="1"/>
  <c r="N112" i="1"/>
  <c r="AK112" i="1" s="1"/>
  <c r="N114" i="1"/>
  <c r="AK114" i="1" s="1"/>
  <c r="N117" i="1"/>
  <c r="AK117" i="1" s="1"/>
  <c r="N158" i="1"/>
  <c r="AK158" i="1" s="1"/>
  <c r="N167" i="1"/>
  <c r="AK167" i="1" s="1"/>
  <c r="N168" i="1"/>
  <c r="AK168" i="1" s="1"/>
  <c r="N173" i="1"/>
  <c r="AK173" i="1" s="1"/>
  <c r="N174" i="1"/>
  <c r="AK174" i="1" s="1"/>
  <c r="N179" i="1"/>
  <c r="AK179" i="1" s="1"/>
  <c r="N188" i="1"/>
  <c r="AK188" i="1" s="1"/>
  <c r="N136" i="1"/>
  <c r="AK136" i="1" s="1"/>
  <c r="N138" i="1"/>
  <c r="AK138" i="1" s="1"/>
  <c r="N192" i="1"/>
  <c r="AK192" i="1" s="1"/>
  <c r="N193" i="1"/>
  <c r="AK193" i="1" s="1"/>
  <c r="N195" i="1"/>
  <c r="AK195" i="1" s="1"/>
  <c r="N197" i="1"/>
  <c r="AK197" i="1" s="1"/>
  <c r="N199" i="1"/>
  <c r="AK199" i="1" s="1"/>
  <c r="N72" i="1"/>
  <c r="AK72" i="1" s="1"/>
  <c r="N78" i="1"/>
  <c r="AK78" i="1" s="1"/>
  <c r="N227" i="1"/>
  <c r="AK227" i="1" s="1"/>
  <c r="N230" i="1"/>
  <c r="AK230" i="1" s="1"/>
  <c r="N232" i="1"/>
  <c r="AK232" i="1" s="1"/>
  <c r="N251" i="1"/>
  <c r="AK251" i="1" s="1"/>
  <c r="N256" i="1"/>
  <c r="AK256" i="1" s="1"/>
  <c r="N259" i="1"/>
  <c r="AK259" i="1" s="1"/>
  <c r="N263" i="1"/>
  <c r="AK263" i="1" s="1"/>
  <c r="N268" i="1"/>
  <c r="AK268" i="1" s="1"/>
  <c r="N270" i="1"/>
  <c r="AK270" i="1" s="1"/>
  <c r="N272" i="1"/>
  <c r="AK272" i="1" s="1"/>
  <c r="N279" i="1"/>
  <c r="AK279" i="1" s="1"/>
  <c r="N280" i="1"/>
  <c r="AK280" i="1" s="1"/>
  <c r="AJ8" i="1"/>
  <c r="AJ311" i="1" s="1"/>
  <c r="X8" i="1"/>
  <c r="X311" i="1" s="1"/>
  <c r="L110" i="1"/>
  <c r="A83" i="1"/>
  <c r="L188" i="1"/>
  <c r="K71" i="1" l="1"/>
  <c r="J71" i="1" s="1"/>
  <c r="A71" i="1" s="1"/>
  <c r="J72" i="1"/>
  <c r="K159" i="1"/>
  <c r="K158" i="1" s="1"/>
  <c r="K157" i="1" s="1"/>
  <c r="L281" i="1"/>
  <c r="L280" i="1" s="1"/>
  <c r="J307" i="1"/>
  <c r="A307" i="1" s="1"/>
  <c r="J259" i="1"/>
  <c r="A259" i="1" s="1"/>
  <c r="J226" i="1"/>
  <c r="A226" i="1" s="1"/>
  <c r="J188" i="1"/>
  <c r="A188" i="1" s="1"/>
  <c r="J86" i="1"/>
  <c r="A86" i="1" s="1"/>
  <c r="K81" i="1"/>
  <c r="L159" i="1"/>
  <c r="L158" i="1" s="1"/>
  <c r="L157" i="1" s="1"/>
  <c r="J33" i="1"/>
  <c r="A33" i="1" s="1"/>
  <c r="J23" i="1"/>
  <c r="A23" i="1" s="1"/>
  <c r="J228" i="1"/>
  <c r="A228" i="1" s="1"/>
  <c r="J204" i="1"/>
  <c r="A204" i="1" s="1"/>
  <c r="J114" i="1"/>
  <c r="A114" i="1" s="1"/>
  <c r="J37" i="1"/>
  <c r="A37" i="1" s="1"/>
  <c r="J220" i="1"/>
  <c r="A220" i="1" s="1"/>
  <c r="J219" i="1"/>
  <c r="A219" i="1" s="1"/>
  <c r="J185" i="1"/>
  <c r="A185" i="1" s="1"/>
  <c r="J198" i="1"/>
  <c r="A198" i="1" s="1"/>
  <c r="J208" i="1"/>
  <c r="A208" i="1" s="1"/>
  <c r="J10" i="1"/>
  <c r="A10" i="1" s="1"/>
  <c r="J209" i="1"/>
  <c r="A209" i="1" s="1"/>
  <c r="J192" i="1"/>
  <c r="A192" i="1" s="1"/>
  <c r="J202" i="1"/>
  <c r="A202" i="1" s="1"/>
  <c r="J53" i="1"/>
  <c r="A53" i="1" s="1"/>
  <c r="J227" i="1"/>
  <c r="A227" i="1" s="1"/>
  <c r="J45" i="1"/>
  <c r="A45" i="1" s="1"/>
  <c r="J46" i="1"/>
  <c r="A46" i="1" s="1"/>
  <c r="J218" i="1"/>
  <c r="A218" i="1" s="1"/>
  <c r="J200" i="1"/>
  <c r="A200" i="1" s="1"/>
  <c r="J52" i="1"/>
  <c r="A52" i="1" s="1"/>
  <c r="J44" i="1"/>
  <c r="A44" i="1" s="1"/>
  <c r="J151" i="1"/>
  <c r="J133" i="1"/>
  <c r="A133" i="1" s="1"/>
  <c r="J120" i="1"/>
  <c r="A120" i="1" s="1"/>
  <c r="J308" i="1"/>
  <c r="A308" i="1" s="1"/>
  <c r="J141" i="1"/>
  <c r="A141" i="1" s="1"/>
  <c r="J34" i="1"/>
  <c r="A34" i="1" s="1"/>
  <c r="K113" i="1"/>
  <c r="J144" i="1"/>
  <c r="A144" i="1" s="1"/>
  <c r="J206" i="1"/>
  <c r="A206" i="1" s="1"/>
  <c r="J182" i="1"/>
  <c r="A182" i="1" s="1"/>
  <c r="J115" i="1"/>
  <c r="A115" i="1" s="1"/>
  <c r="J212" i="1"/>
  <c r="A212" i="1" s="1"/>
  <c r="J136" i="1"/>
  <c r="A136" i="1" s="1"/>
  <c r="J110" i="1"/>
  <c r="A110" i="1" s="1"/>
  <c r="J194" i="1"/>
  <c r="A194" i="1" s="1"/>
  <c r="A72" i="1"/>
  <c r="J268" i="1"/>
  <c r="A268" i="1" s="1"/>
  <c r="J166" i="1"/>
  <c r="A166" i="1" s="1"/>
  <c r="J214" i="1"/>
  <c r="A214" i="1" s="1"/>
  <c r="J135" i="1"/>
  <c r="A135" i="1" s="1"/>
  <c r="J9" i="1"/>
  <c r="A9" i="1" s="1"/>
  <c r="J139" i="1"/>
  <c r="A139" i="1" s="1"/>
  <c r="J38" i="1"/>
  <c r="A38" i="1" s="1"/>
  <c r="J222" i="1"/>
  <c r="A222" i="1" s="1"/>
  <c r="J170" i="1"/>
  <c r="A170" i="1" s="1"/>
  <c r="J272" i="1"/>
  <c r="A272" i="1" s="1"/>
  <c r="M113" i="1"/>
  <c r="L113" i="1"/>
  <c r="L187" i="1"/>
  <c r="J260" i="1"/>
  <c r="A260" i="1" s="1"/>
  <c r="J152" i="1"/>
  <c r="A152" i="1" s="1"/>
  <c r="J125" i="1"/>
  <c r="A125" i="1" s="1"/>
  <c r="J119" i="1"/>
  <c r="A119" i="1" s="1"/>
  <c r="J25" i="1"/>
  <c r="A25" i="1" s="1"/>
  <c r="J193" i="1"/>
  <c r="A193" i="1" s="1"/>
  <c r="J24" i="1"/>
  <c r="A24" i="1" s="1"/>
  <c r="J201" i="1"/>
  <c r="A201" i="1" s="1"/>
  <c r="J210" i="1"/>
  <c r="A210" i="1" s="1"/>
  <c r="J129" i="1"/>
  <c r="A129" i="1" s="1"/>
  <c r="J269" i="1"/>
  <c r="A269" i="1" s="1"/>
  <c r="J73" i="1"/>
  <c r="A73" i="1" s="1"/>
  <c r="J196" i="1"/>
  <c r="A196" i="1" s="1"/>
  <c r="J181" i="1"/>
  <c r="A181" i="1" s="1"/>
  <c r="J59" i="1"/>
  <c r="A59" i="1" s="1"/>
  <c r="J57" i="1"/>
  <c r="A57" i="1" s="1"/>
  <c r="J58" i="1"/>
  <c r="A58" i="1" s="1"/>
  <c r="M8" i="1"/>
  <c r="L15" i="1"/>
  <c r="J223" i="1"/>
  <c r="A223" i="1" s="1"/>
  <c r="J140" i="1"/>
  <c r="A140" i="1" s="1"/>
  <c r="J54" i="1"/>
  <c r="A54" i="1" s="1"/>
  <c r="J246" i="1"/>
  <c r="A246" i="1" s="1"/>
  <c r="J41" i="1"/>
  <c r="A41" i="1" s="1"/>
  <c r="K8" i="1"/>
  <c r="J42" i="1"/>
  <c r="A42" i="1" s="1"/>
  <c r="J213" i="1"/>
  <c r="A213" i="1" s="1"/>
  <c r="J224" i="1"/>
  <c r="A224" i="1" s="1"/>
  <c r="J197" i="1"/>
  <c r="A197" i="1" s="1"/>
  <c r="J273" i="1"/>
  <c r="A273" i="1" s="1"/>
  <c r="J36" i="1"/>
  <c r="A36" i="1" s="1"/>
  <c r="N8" i="1"/>
  <c r="N311" i="1" s="1"/>
  <c r="J205" i="1"/>
  <c r="A205" i="1" s="1"/>
  <c r="J137" i="1"/>
  <c r="A137" i="1" s="1"/>
  <c r="J124" i="1"/>
  <c r="A124" i="1" s="1"/>
  <c r="K32" i="1"/>
  <c r="J32" i="1" s="1"/>
  <c r="A32" i="1" s="1"/>
  <c r="L40" i="1"/>
  <c r="J40" i="1" s="1"/>
  <c r="A40" i="1" s="1"/>
  <c r="K131" i="1"/>
  <c r="J131" i="1" s="1"/>
  <c r="A131" i="1" s="1"/>
  <c r="J132" i="1"/>
  <c r="A132" i="1" s="1"/>
  <c r="J326" i="1"/>
  <c r="L233" i="1"/>
  <c r="J184" i="1"/>
  <c r="A184" i="1" s="1"/>
  <c r="M281" i="1"/>
  <c r="M280" i="1" s="1"/>
  <c r="M233" i="1"/>
  <c r="M232" i="1" s="1"/>
  <c r="J128" i="1"/>
  <c r="A128" i="1" s="1"/>
  <c r="Z311" i="1"/>
  <c r="Y8" i="1"/>
  <c r="AK153" i="1"/>
  <c r="A151" i="1" l="1"/>
  <c r="J147" i="1"/>
  <c r="J187" i="1"/>
  <c r="A187" i="1" s="1"/>
  <c r="J81" i="1"/>
  <c r="A81" i="1" s="1"/>
  <c r="K80" i="1"/>
  <c r="A147" i="1"/>
  <c r="J113" i="1"/>
  <c r="A113" i="1" s="1"/>
  <c r="J159" i="1"/>
  <c r="A159" i="1" s="1"/>
  <c r="L14" i="1"/>
  <c r="J15" i="1"/>
  <c r="A15" i="1" s="1"/>
  <c r="M231" i="1"/>
  <c r="M311" i="1" s="1"/>
  <c r="M367" i="1" s="1"/>
  <c r="L232" i="1"/>
  <c r="L231" i="1" s="1"/>
  <c r="J233" i="1"/>
  <c r="A233" i="1" s="1"/>
  <c r="K280" i="1"/>
  <c r="J281" i="1"/>
  <c r="A281" i="1" s="1"/>
  <c r="Y311" i="1"/>
  <c r="AK8" i="1"/>
  <c r="AK311" i="1" s="1"/>
  <c r="K79" i="1" l="1"/>
  <c r="J79" i="1" s="1"/>
  <c r="A79" i="1" s="1"/>
  <c r="J80" i="1"/>
  <c r="A80" i="1" s="1"/>
  <c r="M323" i="1"/>
  <c r="M325" i="1" s="1"/>
  <c r="J14" i="1"/>
  <c r="A14" i="1" s="1"/>
  <c r="L8" i="1"/>
  <c r="J8" i="1" s="1"/>
  <c r="A8" i="1" s="1"/>
  <c r="J158" i="1"/>
  <c r="A158" i="1" s="1"/>
  <c r="J157" i="1"/>
  <c r="A157" i="1" s="1"/>
  <c r="J232" i="1"/>
  <c r="A232" i="1" s="1"/>
  <c r="J280" i="1"/>
  <c r="A280" i="1" s="1"/>
  <c r="K231" i="1"/>
  <c r="K311" i="1" l="1"/>
  <c r="K367" i="1" s="1"/>
  <c r="K369" i="1" s="1"/>
  <c r="L311" i="1"/>
  <c r="L367" i="1" s="1"/>
  <c r="J231" i="1"/>
  <c r="A231" i="1" s="1"/>
  <c r="J311" i="1" l="1"/>
  <c r="J367" i="1" s="1"/>
  <c r="L323" i="1"/>
  <c r="L325" i="1" s="1"/>
  <c r="H331" i="1"/>
  <c r="K323" i="1"/>
  <c r="K325" i="1" s="1"/>
  <c r="J323" i="1" l="1"/>
  <c r="J325" i="1" s="1"/>
  <c r="A311" i="1"/>
  <c r="M369" i="1"/>
  <c r="J370" i="1"/>
  <c r="J369" i="1" s="1"/>
  <c r="L369" i="1"/>
</calcChain>
</file>

<file path=xl/comments1.xml><?xml version="1.0" encoding="utf-8"?>
<comments xmlns="http://schemas.openxmlformats.org/spreadsheetml/2006/main">
  <authors>
    <author>User</author>
  </authors>
  <commentList>
    <comment ref="G70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КФК та програма невідомо</t>
        </r>
      </text>
    </comment>
    <comment ref="K10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L10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K16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1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7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7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7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7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1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1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</commentList>
</comments>
</file>

<file path=xl/sharedStrings.xml><?xml version="1.0" encoding="utf-8"?>
<sst xmlns="http://schemas.openxmlformats.org/spreadsheetml/2006/main" count="996" uniqueCount="340">
  <si>
    <t>Загальний фонд</t>
  </si>
  <si>
    <t>Спеціальний фонд</t>
  </si>
  <si>
    <t>Управління освіти  виконавчого комітету                      Новомосковської міської ради</t>
  </si>
  <si>
    <t>Виконавчий комітет  Новомосковської міської ради</t>
  </si>
  <si>
    <t>Усього:</t>
  </si>
  <si>
    <t>грн</t>
  </si>
  <si>
    <t>відхилення від попереднього рішення</t>
  </si>
  <si>
    <t>ПРОФІНАНСОВАНО</t>
  </si>
  <si>
    <t>у т..ч. кредиторська заборгованість на 01.01.2011</t>
  </si>
  <si>
    <t>Управління житлово-комунального господарства та капітального будівництва Новомосковської міської ради</t>
  </si>
  <si>
    <t>РАЗОМ</t>
  </si>
  <si>
    <t>кредиторка</t>
  </si>
  <si>
    <t>п</t>
  </si>
  <si>
    <t>10</t>
  </si>
  <si>
    <t>змагання</t>
  </si>
  <si>
    <t>стипендії кращим спортсменам</t>
  </si>
  <si>
    <t>ДЮСШ "Україна"</t>
  </si>
  <si>
    <t>Цільова соціальна програма "Молодь Новомосковська на 2012-2021 роки"</t>
  </si>
  <si>
    <t>Управління праці та соціального захисту населення м.Новомосковська</t>
  </si>
  <si>
    <t>попередне рішення</t>
  </si>
  <si>
    <t>Програма охорони навколишнього природного середовища м.Новомосковска на 2016 - 2020 роки</t>
  </si>
  <si>
    <t>1050</t>
  </si>
  <si>
    <t>у тому числі за рахунок субвенції з обласного бюджету</t>
  </si>
  <si>
    <t>сумма изменений</t>
  </si>
  <si>
    <t>Цільова комплексна Програма розвитку фізичної культури та спорту в м. Новомосковську на 2017-2021 роки</t>
  </si>
  <si>
    <t>у тому числі за рахунок субвенції з державного бюджету місцевим бюджетам</t>
  </si>
  <si>
    <t>Програма підтримки заходів призову по мобілізації, на військову службу за контрактом, на строкову військову службу та забезпечення територіальної оборони м.Новомосковськ на 2017-2021 роки</t>
  </si>
  <si>
    <t>0829</t>
  </si>
  <si>
    <t>0210000</t>
  </si>
  <si>
    <t>0200000</t>
  </si>
  <si>
    <t>0800000</t>
  </si>
  <si>
    <t>0810000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</si>
  <si>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</si>
  <si>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</si>
  <si>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</si>
  <si>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</si>
  <si>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</si>
  <si>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0813035</t>
  </si>
  <si>
    <t>3035</t>
  </si>
  <si>
    <t>0813160</t>
  </si>
  <si>
    <t>3160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</si>
  <si>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</si>
  <si>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</si>
  <si>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</si>
  <si>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0212010</t>
  </si>
  <si>
    <t>5011</t>
  </si>
  <si>
    <t>5031</t>
  </si>
  <si>
    <t>0215061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</si>
  <si>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</si>
  <si>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</si>
  <si>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</si>
  <si>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0213112</t>
  </si>
  <si>
    <t>3112</t>
  </si>
  <si>
    <t>0213121</t>
  </si>
  <si>
    <t>3121</t>
  </si>
  <si>
    <t>0600000</t>
  </si>
  <si>
    <t>0610000</t>
  </si>
  <si>
    <t>0611010</t>
  </si>
  <si>
    <t>Надання дошкільної освіти</t>
  </si>
  <si>
    <t>0615031</t>
  </si>
  <si>
    <t>0613140</t>
  </si>
  <si>
    <t>3140</t>
  </si>
  <si>
    <t>1200000</t>
  </si>
  <si>
    <t>1210000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</si>
  <si>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</si>
  <si>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</si>
  <si>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</si>
  <si>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</si>
  <si>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</si>
  <si>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</si>
  <si>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</si>
  <si>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</si>
  <si>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</si>
  <si>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0217670</t>
  </si>
  <si>
    <t>7670</t>
  </si>
  <si>
    <t>Внески до статутного капіталу суб`єктів господарювання</t>
  </si>
  <si>
    <t>Організація та проведення громадських робіт</t>
  </si>
  <si>
    <t>0219770</t>
  </si>
  <si>
    <t>9770</t>
  </si>
  <si>
    <t>Інші субвенції з місцевого бюджету</t>
  </si>
  <si>
    <t>1211010</t>
  </si>
  <si>
    <t>1212010</t>
  </si>
  <si>
    <t>1217310</t>
  </si>
  <si>
    <t>7310</t>
  </si>
  <si>
    <t>Будівництво об`єктів житлово-комунального господарства</t>
  </si>
  <si>
    <t xml:space="preserve">  Програма створення та використання матеріальних резервів для запобігання ліквідації надзвичайних ситуацій техногенного і природного характеру та їх наслідків у місті Новомосковську на 2018-2022 р.р.</t>
  </si>
  <si>
    <t>Інші заходи у сфері соціального захисту і соціального забезпечення</t>
  </si>
  <si>
    <t>0726</t>
  </si>
  <si>
    <t>0217322</t>
  </si>
  <si>
    <t>7322</t>
  </si>
  <si>
    <t>Будівництво медичних установ та закладів</t>
  </si>
  <si>
    <t>1210160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</si>
  <si>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</si>
  <si>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</si>
  <si>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</si>
  <si>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1217363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</si>
  <si>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</si>
  <si>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</si>
  <si>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</si>
  <si>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</si>
  <si>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</si>
  <si>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</si>
  <si>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</si>
  <si>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</si>
  <si>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0824</t>
  </si>
  <si>
    <t>Реалізація проектів в рамках Надзвичайної кредитної програми для відновлення України</t>
  </si>
  <si>
    <t>0217130</t>
  </si>
  <si>
    <t>7130</t>
  </si>
  <si>
    <t>0421</t>
  </si>
  <si>
    <t>Здійснення заходів із землеустрою</t>
  </si>
  <si>
    <t>0212100</t>
  </si>
  <si>
    <t>2100</t>
  </si>
  <si>
    <t>0722</t>
  </si>
  <si>
    <t>Стоматологічна допомога населенню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</si>
  <si>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</si>
  <si>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</si>
  <si>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</si>
  <si>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</si>
  <si>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</si>
  <si>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від 07.07.2017 року № 373</t>
  </si>
  <si>
    <t>Програма фінансової підтримки комунальних підприємств, установ та закладів Новомоскосвської міської ради на 2019-2021 роки</t>
  </si>
  <si>
    <t>Проведення навчально-тренувальних зборів і змагань з неолімпійських видів спорту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</si>
  <si>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</si>
  <si>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0960</t>
  </si>
  <si>
    <t>Надання позашкільної освіти позашкільними закладами освіти, заходи із позашкільної роботи з дітьми</t>
  </si>
  <si>
    <t>від 10.06.2019 року №893</t>
  </si>
  <si>
    <t>Програма сприяння діяльності об"єднань співвласників багатоквартирних будинків, житлово- будівельних кооперативів міста Новомосковська на 2020-2023 роки</t>
  </si>
  <si>
    <t>Програма "Місцеві стимули для медичних працівників КЗ "Новомосковська ЦМЛ" на 2019-2021 роки" в редакції рішення міської ради від 12.11.2019 року № 1056</t>
  </si>
  <si>
    <t>від 30.11.2018 року № 775, від 12.11.2019 року № 1056</t>
  </si>
  <si>
    <t>від 13.12.2019 року № 1087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</si>
  <si>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</si>
  <si>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0610</t>
  </si>
  <si>
    <t>Інша діяльність пов"язана з експлуатацією об"єктів житлово-комунального господарства</t>
  </si>
  <si>
    <t>від 21.12.2016 року № 292 у редакції від 27.09.2019 р.№ 980</t>
  </si>
  <si>
    <t>1213242</t>
  </si>
  <si>
    <t>0610160</t>
  </si>
  <si>
    <t>1216013</t>
  </si>
  <si>
    <t>6013</t>
  </si>
  <si>
    <t>Забезпечення діяльності водопровідно-каналізаційного господарства</t>
  </si>
  <si>
    <t>1217324</t>
  </si>
  <si>
    <t>7324</t>
  </si>
  <si>
    <t>Будівництво установ та закладів культури</t>
  </si>
  <si>
    <t>1014030</t>
  </si>
  <si>
    <t>4030</t>
  </si>
  <si>
    <t>Забезпечення діяльності бібліотек</t>
  </si>
  <si>
    <t>у тому числі за рахунок субвенції з районного бюджету</t>
  </si>
  <si>
    <t>Керуючий справами</t>
  </si>
  <si>
    <t>Програма підтримки населення в енергозбереженні житлового сектора міста Новомосковська до 2021 року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</si>
  <si>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</si>
  <si>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мат допом наша219 +обл субв26</t>
  </si>
  <si>
    <t>Фінансове управління виконавчого комітету Новомосковської міської ради</t>
  </si>
  <si>
    <t>0620</t>
  </si>
  <si>
    <t>0810</t>
  </si>
  <si>
    <t>0490</t>
  </si>
  <si>
    <t>0443</t>
  </si>
  <si>
    <t>0456</t>
  </si>
  <si>
    <t>0180</t>
  </si>
  <si>
    <t>0910</t>
  </si>
  <si>
    <t>0921</t>
  </si>
  <si>
    <t>1090</t>
  </si>
  <si>
    <t>1040</t>
  </si>
  <si>
    <t>0731</t>
  </si>
  <si>
    <t>Код програмної класифікації видатків та кредитування місцевого бюджету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</si>
  <si>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</si>
  <si>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</si>
  <si>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1000000</t>
  </si>
  <si>
    <t>1010000</t>
  </si>
  <si>
    <t>Утримання та навчально-тренувальна робота комунальних дитячо-юнацьких спортивних шкіл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</si>
  <si>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</si>
  <si>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1010</t>
  </si>
  <si>
    <t>Багатопрофільна стаціонарна медична допомога населенню</t>
  </si>
  <si>
    <t>Підтримка спорту вищих досягнень та організацій, які здійснюють фізкультурно-спортивну діяльність в регіоні</t>
  </si>
  <si>
    <t>2010</t>
  </si>
  <si>
    <t>1070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</si>
  <si>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</si>
  <si>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</si>
  <si>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проверка отклонения</t>
  </si>
  <si>
    <t>Програма децентралізації теплопостачання в місті Новомосковську</t>
  </si>
  <si>
    <t>02</t>
  </si>
  <si>
    <t>08</t>
  </si>
  <si>
    <t>06</t>
  </si>
  <si>
    <t>12</t>
  </si>
  <si>
    <t>37</t>
  </si>
  <si>
    <t>1217321</t>
  </si>
  <si>
    <t>7321</t>
  </si>
  <si>
    <t>Будівництво освітніх установ та закладів</t>
  </si>
  <si>
    <t>0213242</t>
  </si>
  <si>
    <t>3242</t>
  </si>
  <si>
    <t>0813242</t>
  </si>
  <si>
    <t>1014081</t>
  </si>
  <si>
    <t>4081</t>
  </si>
  <si>
    <t>Забезпечення діяльності інших закладів в галузі культури і мистецтва</t>
  </si>
  <si>
    <t>0813210</t>
  </si>
  <si>
    <t>3210</t>
  </si>
  <si>
    <t>0990</t>
  </si>
  <si>
    <t>Інші програми та заходи у сфері освіти</t>
  </si>
  <si>
    <t>4082</t>
  </si>
  <si>
    <t>1014082</t>
  </si>
  <si>
    <t>Інші заходи в галузі культури і мистецтва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</si>
  <si>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</si>
  <si>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</si>
  <si>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</si>
  <si>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0540</t>
  </si>
  <si>
    <t>1216011</t>
  </si>
  <si>
    <t>6011</t>
  </si>
  <si>
    <t>Експлуатація та технічне обслуговування житлового фонду</t>
  </si>
  <si>
    <t>0217640</t>
  </si>
  <si>
    <t>7640</t>
  </si>
  <si>
    <t>0470</t>
  </si>
  <si>
    <t>Заходи з енергозбереження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</si>
  <si>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</si>
  <si>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0640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</si>
  <si>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</si>
  <si>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</si>
  <si>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</si>
  <si>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</si>
  <si>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0213111</t>
  </si>
  <si>
    <t>у тому числі за рахунок субвенції з державного бюджету</t>
  </si>
  <si>
    <t>від 20.05.2016 року № 91</t>
  </si>
  <si>
    <t>від 18.12.2017 року № 484</t>
  </si>
  <si>
    <t>від 12.03.2018 року № 573</t>
  </si>
  <si>
    <t>від 28.02.2019 року № 815</t>
  </si>
  <si>
    <t>1216090</t>
  </si>
  <si>
    <t>6090</t>
  </si>
  <si>
    <t>Інша діяльність у сфері житлово-комунального господарства</t>
  </si>
  <si>
    <t>0810160</t>
  </si>
  <si>
    <t>0218120</t>
  </si>
  <si>
    <t>8120</t>
  </si>
  <si>
    <t>Заходи з організації рятування на водах</t>
  </si>
  <si>
    <t>від 21.12.2016 року № 222</t>
  </si>
  <si>
    <t>від 30.11.2018 року №811</t>
  </si>
  <si>
    <t xml:space="preserve">Програма розвитку земельних відносин та охорони земель м.Новомосковськ на 2019-2021 р.р. </t>
  </si>
  <si>
    <t>Програма "Місцеві стимули для медичних працівників КНП "Новомосковській МЦ ПМСД" до 2024 року</t>
  </si>
  <si>
    <t>від 12.11.2019 року № 1058</t>
  </si>
  <si>
    <t xml:space="preserve">Програма "Здоров"я населення м.Новомосковськ на період до 2024 року"
</t>
  </si>
  <si>
    <t>від 12.11.2019 року № 1057</t>
  </si>
  <si>
    <t>Міська цільова програма "Партиципаторне бюджетування (бюджет участі) у м.Новомосковську на 2019-2022 роки"</t>
  </si>
  <si>
    <t>Програма  зайнятості населення міста Новомосковська на 2018-2022 роки</t>
  </si>
  <si>
    <t>Програма розвитку та фінансової підтримки комунального некомерційного підприємства "Новомосковська центральна міська лікарня Новомосковської міської ради" на 2020-2022 роки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</si>
  <si>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</si>
  <si>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</si>
  <si>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(код бюджету)</t>
  </si>
  <si>
    <t>3700000</t>
  </si>
  <si>
    <t>Фінансове управління  Новомосковської міської ради</t>
  </si>
  <si>
    <t>3710000</t>
  </si>
  <si>
    <t>3710160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</si>
  <si>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</si>
  <si>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</si>
  <si>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</si>
  <si>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</si>
  <si>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Будівництво інших об"єктів комунальної власності</t>
  </si>
  <si>
    <t>від 28.02.2020 року №1193</t>
  </si>
  <si>
    <t>0217363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</si>
  <si>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</si>
  <si>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</si>
  <si>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</si>
  <si>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</si>
  <si>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Розподіл витрат бюджету Новомосковської міської територіальної громади на реалізацію місцевих / регіональних програм у 2021 році</t>
  </si>
  <si>
    <t>04582000000</t>
  </si>
  <si>
    <t>від 27.03.2020 року № 1223</t>
  </si>
  <si>
    <t>Програма профілактики та лікування стоматологічних захворювань комунальним підприємством "Новомосковська міська стоматологічна поліклініка" Новомосковської міської ради" на 2020-2022 року</t>
  </si>
  <si>
    <t>від 30.01.2020 року № 1134; від 25.09.2020 року № 1369</t>
  </si>
  <si>
    <t>Програма охорони, збереження та використання об'єктів культурної спадщини на 2021-2025 р.р.</t>
  </si>
  <si>
    <t>від 29.05.2020 року№ 1262</t>
  </si>
  <si>
    <t xml:space="preserve">Програма соціально-економічного та культурного розвитку міста Новомосковська на 2021 рік </t>
  </si>
  <si>
    <t>Програма реалізації стратегії національно-патріотичного виховання в м.Новомосковську на 2021 -2025 роки</t>
  </si>
  <si>
    <t>від 29.05.2020 року № 1263</t>
  </si>
  <si>
    <t>від 27.03.2020 року № 1224</t>
  </si>
  <si>
    <t>Комплексна Програма розвитку освіти м.Новомосковська на 2021-2025 роки</t>
  </si>
  <si>
    <t>Програма реформування і розвитку житлово-комунального господарства м.Новомосковська на 2021-2025 роки</t>
  </si>
  <si>
    <t>від 25.09.2020 року № 1376</t>
  </si>
  <si>
    <t>Програма соціального захисту населення міста Новомосковська на 2021 -2025 р.р.</t>
  </si>
  <si>
    <t>у тому числі за виплату муніципальної доплати молодим спеціалістам</t>
  </si>
  <si>
    <t>Утримання та забезпечення діяльності центрів соціальних служб</t>
  </si>
  <si>
    <t>0611021</t>
  </si>
  <si>
    <t>1021</t>
  </si>
  <si>
    <t>Надання загальної середньої освіти закладами загальної середньої освіти</t>
  </si>
  <si>
    <t>0611070</t>
  </si>
  <si>
    <t>0611142</t>
  </si>
  <si>
    <t>0611151</t>
  </si>
  <si>
    <t>Забезпечення діяльності інклюзивно-ресурсних центрів за рахунок коштів місцевого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</si>
  <si>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</si>
  <si>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</si>
  <si>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1211021</t>
  </si>
  <si>
    <t>від 21.01.2016 року № 27; від 24.12.2020р.              № 33</t>
  </si>
  <si>
    <t xml:space="preserve">від 24.12.2020р.             року № 18  </t>
  </si>
  <si>
    <t xml:space="preserve"> від 24.12.2020 року № 26</t>
  </si>
  <si>
    <t>Програма "Соціальна підтримка сімей, дітей та молоді у м.Новомосковську на 2021-2025 роки"</t>
  </si>
  <si>
    <t>від 24.07.2020 року № 1310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</si>
  <si>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</si>
  <si>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1015011</t>
  </si>
  <si>
    <t>1015012</t>
  </si>
  <si>
    <t>1015061</t>
  </si>
  <si>
    <t>1015062</t>
  </si>
  <si>
    <t>Управління  культури, спорту та туризму виконавчого комітету  Новомсковської міської ради</t>
  </si>
  <si>
    <r>
      <t xml:space="preserve">Проверка равенства колонок L и M
</t>
    </r>
    <r>
      <rPr>
        <b/>
        <u/>
        <sz val="12"/>
        <color indexed="61"/>
        <rFont val="Times New Roman"/>
        <family val="1"/>
        <charset val="204"/>
      </rPr>
      <t xml:space="preserve">В КОЛОНКЕ </t>
    </r>
    <r>
      <rPr>
        <b/>
        <i/>
        <u/>
        <sz val="12"/>
        <color indexed="61"/>
        <rFont val="Times New Roman"/>
        <family val="1"/>
        <charset val="204"/>
      </rPr>
      <t>Н</t>
    </r>
    <r>
      <rPr>
        <b/>
        <u/>
        <sz val="12"/>
        <color indexed="61"/>
        <rFont val="Times New Roman"/>
        <family val="1"/>
        <charset val="204"/>
      </rPr>
      <t xml:space="preserve"> ДОЛЖНО БЫТЬ </t>
    </r>
    <r>
      <rPr>
        <b/>
        <i/>
        <u/>
        <sz val="12"/>
        <color indexed="61"/>
        <rFont val="Times New Roman"/>
        <family val="1"/>
        <charset val="204"/>
      </rPr>
      <t>0</t>
    </r>
  </si>
  <si>
    <t>0215011</t>
  </si>
  <si>
    <t>у тому числі на виплату муніципальної доплати молодим спеціалістам</t>
  </si>
  <si>
    <t>від 10.06.2019 року № 917</t>
  </si>
  <si>
    <t>Начальник фінансового управління</t>
  </si>
  <si>
    <t>Наталія КОВТУНЕНКО</t>
  </si>
  <si>
    <t>Яків КЛИМЕНОВ</t>
  </si>
  <si>
    <t>0619770</t>
  </si>
  <si>
    <t>Програма"Управління місцевим боргом бюджету Новомосковської міської територіальної громади на 2021-2026 роки"</t>
  </si>
  <si>
    <t>3718600</t>
  </si>
  <si>
    <t>8600</t>
  </si>
  <si>
    <t>0170</t>
  </si>
  <si>
    <t>Обслуговування місцевого боргу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</si>
  <si>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</si>
  <si>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</si>
  <si>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</si>
  <si>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0611154</t>
  </si>
  <si>
    <t>0611061</t>
  </si>
  <si>
    <t>у тому числі за рахунок залишку коштів за освітньою субвенцією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</si>
  <si>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</si>
  <si>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</si>
  <si>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</si>
  <si>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</si>
  <si>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у тому числі за рахунок запозичення</t>
  </si>
  <si>
    <t>1011080</t>
  </si>
  <si>
    <t>1080</t>
  </si>
  <si>
    <t>Надання спеціальної освіти мистецькими школами</t>
  </si>
  <si>
    <t>Програма  розвитку земельних відносин, охорони земель та містобудування м.Новомосковськ на 2019-2021 роки</t>
  </si>
  <si>
    <t>0217350</t>
  </si>
  <si>
    <t>Розроблення схем планування та забудови територій (містобудівної документації)</t>
  </si>
  <si>
    <t>Міська комплексна Програма "Розвиток соціальних послуг з реалізації права дитини на виховання в сім"ї у м.Новомосковську на 2021-2025 роки"</t>
  </si>
  <si>
    <t>від 30.06.2021року № 436</t>
  </si>
  <si>
    <t>1017324</t>
  </si>
  <si>
    <t>Секретар міської ради</t>
  </si>
  <si>
    <t>Володимир АРУТЮНОВ</t>
  </si>
  <si>
    <t>1217325</t>
  </si>
  <si>
    <t>Будівництво1 споруд, установ та закладів фізичної культури і спорту</t>
  </si>
  <si>
    <t>від 30.06.2021року
 № 452</t>
  </si>
  <si>
    <t>1217130</t>
  </si>
  <si>
    <t>0216083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</si>
  <si>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</si>
  <si>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1216017</t>
  </si>
  <si>
    <t>Інша діяльність, пов'язана з експлуатацією об`єктів житлово-комунального господарства</t>
  </si>
  <si>
    <t>Програма охорони навколишнього природного середовища м.Новомосковська на 2021-2025 роки</t>
  </si>
  <si>
    <t>від 05.11.2021 року № 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</si>
</sst>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г_р_н_._-;\-* #,##0.00\ _г_р_н_._-;_-* &quot;-&quot;??\ _г_р_н_._-;_-@_-"/>
  </numFmts>
  <fonts count="61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9"/>
      <name val="Bookman Old Style"/>
      <family val="1"/>
      <charset val="204"/>
    </font>
    <font>
      <b/>
      <sz val="9"/>
      <name val="Bookman Old Style"/>
      <family val="1"/>
      <charset val="204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b/>
      <sz val="12"/>
      <color indexed="12"/>
      <name val="Bookman Old Style"/>
      <family val="1"/>
      <charset val="204"/>
    </font>
    <font>
      <sz val="12"/>
      <color indexed="12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sz val="12"/>
      <color indexed="10"/>
      <name val="Bookman Old Style"/>
      <family val="1"/>
      <charset val="204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b/>
      <i/>
      <sz val="14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sz val="12"/>
      <color indexed="10"/>
      <name val="Bookman Old Style"/>
      <family val="1"/>
      <charset val="204"/>
    </font>
    <font>
      <b/>
      <sz val="12"/>
      <color indexed="30"/>
      <name val="Bookman Old Style"/>
      <family val="1"/>
      <charset val="204"/>
    </font>
    <font>
      <sz val="12"/>
      <color indexed="30"/>
      <name val="Bookman Old Style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b/>
      <sz val="12"/>
      <color indexed="14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u/>
      <sz val="12"/>
      <color indexed="61"/>
      <name val="Times New Roman"/>
      <family val="1"/>
      <charset val="204"/>
    </font>
    <font>
      <b/>
      <i/>
      <u/>
      <sz val="12"/>
      <color indexed="6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2"/>
      <color indexed="53"/>
      <name val="Bookman Old Style"/>
      <family val="1"/>
      <charset val="204"/>
    </font>
    <font>
      <b/>
      <sz val="12"/>
      <color indexed="14"/>
      <name val="Bookman Old Style"/>
      <family val="1"/>
      <charset val="204"/>
    </font>
    <font>
      <b/>
      <sz val="12"/>
      <color indexed="61"/>
      <name val="Bookman Old Style"/>
      <family val="1"/>
      <charset val="204"/>
    </font>
    <font>
      <sz val="11"/>
      <name val="Arial"/>
      <family val="2"/>
      <charset val="204"/>
    </font>
    <font>
      <sz val="11"/>
      <name val="Bookman Old Style"/>
      <family val="1"/>
      <charset val="204"/>
    </font>
    <font>
      <b/>
      <sz val="11"/>
      <color indexed="12"/>
      <name val="Bookman Old Style"/>
      <family val="1"/>
      <charset val="204"/>
    </font>
    <font>
      <b/>
      <sz val="10"/>
      <color indexed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10"/>
      <color indexed="17"/>
      <name val="Bookman Old Style"/>
      <family val="1"/>
      <charset val="204"/>
    </font>
    <font>
      <b/>
      <sz val="10"/>
      <color indexed="61"/>
      <name val="Bookman Old Style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name val="Bookman Old Style"/>
      <family val="1"/>
      <charset val="204"/>
    </font>
    <font>
      <i/>
      <sz val="12"/>
      <name val="Times New Roman"/>
      <family val="1"/>
      <charset val="204"/>
    </font>
    <font>
      <i/>
      <sz val="12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42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49" fontId="7" fillId="0" borderId="0" xfId="0" applyNumberFormat="1" applyFont="1" applyFill="1" applyAlignment="1">
      <alignment vertical="top" wrapText="1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top"/>
    </xf>
    <xf numFmtId="4" fontId="8" fillId="0" borderId="0" xfId="0" applyNumberFormat="1" applyFont="1" applyFill="1"/>
    <xf numFmtId="0" fontId="10" fillId="0" borderId="0" xfId="0" applyFont="1" applyFill="1"/>
    <xf numFmtId="0" fontId="9" fillId="0" borderId="0" xfId="0" applyFont="1" applyFill="1" applyAlignment="1">
      <alignment vertical="top"/>
    </xf>
    <xf numFmtId="0" fontId="9" fillId="0" borderId="0" xfId="0" applyFont="1" applyFill="1"/>
    <xf numFmtId="4" fontId="7" fillId="0" borderId="0" xfId="0" applyNumberFormat="1" applyFont="1" applyFill="1"/>
    <xf numFmtId="0" fontId="12" fillId="0" borderId="0" xfId="0" applyFont="1" applyFill="1"/>
    <xf numFmtId="0" fontId="11" fillId="0" borderId="0" xfId="0" applyFont="1" applyFill="1" applyAlignment="1">
      <alignment vertical="top"/>
    </xf>
    <xf numFmtId="0" fontId="11" fillId="0" borderId="0" xfId="0" applyFont="1" applyFill="1"/>
    <xf numFmtId="0" fontId="8" fillId="0" borderId="0" xfId="0" applyFont="1" applyFill="1" applyAlignment="1">
      <alignment vertical="top"/>
    </xf>
    <xf numFmtId="49" fontId="6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horizontal="center" vertical="top"/>
    </xf>
    <xf numFmtId="49" fontId="7" fillId="0" borderId="0" xfId="0" applyNumberFormat="1" applyFont="1" applyFill="1" applyAlignment="1">
      <alignment vertical="top"/>
    </xf>
    <xf numFmtId="49" fontId="9" fillId="0" borderId="0" xfId="0" applyNumberFormat="1" applyFont="1" applyFill="1" applyAlignment="1">
      <alignment vertical="top"/>
    </xf>
    <xf numFmtId="49" fontId="11" fillId="0" borderId="0" xfId="0" applyNumberFormat="1" applyFont="1" applyFill="1" applyAlignment="1">
      <alignment vertical="top"/>
    </xf>
    <xf numFmtId="49" fontId="8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 wrapText="1"/>
    </xf>
    <xf numFmtId="4" fontId="13" fillId="0" borderId="4" xfId="0" applyNumberFormat="1" applyFont="1" applyFill="1" applyBorder="1" applyAlignment="1">
      <alignment horizontal="right" vertical="top" wrapText="1"/>
    </xf>
    <xf numFmtId="4" fontId="13" fillId="0" borderId="5" xfId="0" applyNumberFormat="1" applyFont="1" applyFill="1" applyBorder="1" applyAlignment="1">
      <alignment vertical="top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>
      <alignment vertical="top"/>
    </xf>
    <xf numFmtId="0" fontId="14" fillId="0" borderId="0" xfId="0" applyFont="1" applyFill="1"/>
    <xf numFmtId="4" fontId="16" fillId="0" borderId="6" xfId="0" applyNumberFormat="1" applyFont="1" applyFill="1" applyBorder="1" applyAlignment="1">
      <alignment horizontal="right" vertical="top" wrapText="1"/>
    </xf>
    <xf numFmtId="4" fontId="14" fillId="0" borderId="8" xfId="0" applyNumberFormat="1" applyFont="1" applyFill="1" applyBorder="1" applyAlignment="1">
      <alignment horizontal="right" vertical="top" wrapText="1"/>
    </xf>
    <xf numFmtId="2" fontId="14" fillId="0" borderId="6" xfId="0" applyNumberFormat="1" applyFont="1" applyFill="1" applyBorder="1" applyAlignment="1">
      <alignment horizontal="right" vertical="top" wrapText="1"/>
    </xf>
    <xf numFmtId="4" fontId="14" fillId="0" borderId="6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vertical="top"/>
    </xf>
    <xf numFmtId="2" fontId="14" fillId="0" borderId="9" xfId="0" applyNumberFormat="1" applyFont="1" applyFill="1" applyBorder="1" applyAlignment="1">
      <alignment horizontal="right" vertical="top" wrapText="1"/>
    </xf>
    <xf numFmtId="4" fontId="14" fillId="0" borderId="9" xfId="0" applyNumberFormat="1" applyFont="1" applyFill="1" applyBorder="1" applyAlignment="1">
      <alignment horizontal="right" vertical="top" wrapText="1"/>
    </xf>
    <xf numFmtId="2" fontId="14" fillId="0" borderId="11" xfId="0" applyNumberFormat="1" applyFont="1" applyFill="1" applyBorder="1" applyAlignment="1">
      <alignment horizontal="right" vertical="top" wrapText="1"/>
    </xf>
    <xf numFmtId="4" fontId="14" fillId="0" borderId="11" xfId="0" applyNumberFormat="1" applyFont="1" applyFill="1" applyBorder="1" applyAlignment="1">
      <alignment horizontal="right" vertical="top" wrapText="1"/>
    </xf>
    <xf numFmtId="0" fontId="13" fillId="0" borderId="0" xfId="0" applyFont="1" applyFill="1"/>
    <xf numFmtId="4" fontId="14" fillId="0" borderId="4" xfId="0" applyNumberFormat="1" applyFont="1" applyFill="1" applyBorder="1" applyAlignment="1">
      <alignment horizontal="right" vertical="top" wrapText="1"/>
    </xf>
    <xf numFmtId="4" fontId="14" fillId="0" borderId="14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horizontal="right" vertical="top" wrapText="1"/>
    </xf>
    <xf numFmtId="4" fontId="14" fillId="0" borderId="17" xfId="0" applyNumberFormat="1" applyFont="1" applyFill="1" applyBorder="1" applyAlignment="1">
      <alignment horizontal="right" vertical="top" wrapText="1"/>
    </xf>
    <xf numFmtId="4" fontId="14" fillId="0" borderId="16" xfId="0" applyNumberFormat="1" applyFont="1" applyFill="1" applyBorder="1" applyAlignment="1">
      <alignment horizontal="right" vertical="top" wrapText="1"/>
    </xf>
    <xf numFmtId="4" fontId="13" fillId="0" borderId="5" xfId="0" applyNumberFormat="1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center" vertical="top"/>
    </xf>
    <xf numFmtId="4" fontId="14" fillId="0" borderId="1" xfId="0" quotePrefix="1" applyNumberFormat="1" applyFont="1" applyFill="1" applyBorder="1" applyAlignment="1">
      <alignment horizontal="center" vertical="top"/>
    </xf>
    <xf numFmtId="4" fontId="14" fillId="0" borderId="1" xfId="0" applyNumberFormat="1" applyFont="1" applyFill="1" applyBorder="1" applyAlignment="1">
      <alignment horizontal="center" vertical="top"/>
    </xf>
    <xf numFmtId="4" fontId="13" fillId="0" borderId="5" xfId="0" applyNumberFormat="1" applyFont="1" applyFill="1" applyBorder="1" applyAlignment="1">
      <alignment horizontal="center" wrapText="1"/>
    </xf>
    <xf numFmtId="4" fontId="13" fillId="0" borderId="1" xfId="0" applyNumberFormat="1" applyFont="1" applyFill="1" applyBorder="1" applyAlignment="1">
      <alignment horizontal="center" wrapText="1"/>
    </xf>
    <xf numFmtId="0" fontId="14" fillId="0" borderId="0" xfId="0" applyFont="1" applyFill="1" applyAlignment="1">
      <alignment wrapText="1"/>
    </xf>
    <xf numFmtId="0" fontId="13" fillId="0" borderId="0" xfId="0" applyFont="1" applyFill="1" applyAlignment="1">
      <alignment vertical="top"/>
    </xf>
    <xf numFmtId="0" fontId="8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4" fontId="15" fillId="0" borderId="16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center" vertical="top" wrapText="1"/>
    </xf>
    <xf numFmtId="4" fontId="15" fillId="0" borderId="6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4" fontId="15" fillId="0" borderId="17" xfId="0" applyNumberFormat="1" applyFont="1" applyFill="1" applyBorder="1" applyAlignment="1">
      <alignment horizontal="right" vertical="top" wrapText="1"/>
    </xf>
    <xf numFmtId="0" fontId="15" fillId="0" borderId="0" xfId="0" applyFont="1" applyFill="1"/>
    <xf numFmtId="4" fontId="13" fillId="0" borderId="6" xfId="0" applyNumberFormat="1" applyFont="1" applyFill="1" applyBorder="1" applyAlignment="1">
      <alignment horizontal="right" vertical="top" wrapText="1"/>
    </xf>
    <xf numFmtId="4" fontId="14" fillId="0" borderId="5" xfId="0" applyNumberFormat="1" applyFont="1" applyFill="1" applyBorder="1" applyAlignment="1">
      <alignment vertical="top"/>
    </xf>
    <xf numFmtId="4" fontId="14" fillId="0" borderId="5" xfId="0" applyNumberFormat="1" applyFont="1" applyFill="1" applyBorder="1" applyAlignment="1">
      <alignment horizontal="center" vertical="top"/>
    </xf>
    <xf numFmtId="4" fontId="14" fillId="0" borderId="1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" fontId="8" fillId="0" borderId="0" xfId="0" applyNumberFormat="1" applyFont="1" applyFill="1" applyAlignment="1">
      <alignment vertical="top"/>
    </xf>
    <xf numFmtId="49" fontId="17" fillId="0" borderId="0" xfId="0" applyNumberFormat="1" applyFont="1" applyFill="1" applyAlignment="1">
      <alignment vertical="top"/>
    </xf>
    <xf numFmtId="0" fontId="18" fillId="0" borderId="0" xfId="0" applyFont="1" applyFill="1"/>
    <xf numFmtId="0" fontId="17" fillId="0" borderId="0" xfId="0" applyFont="1" applyFill="1" applyAlignment="1">
      <alignment vertical="top"/>
    </xf>
    <xf numFmtId="0" fontId="17" fillId="0" borderId="0" xfId="0" applyFont="1" applyFill="1"/>
    <xf numFmtId="49" fontId="19" fillId="0" borderId="0" xfId="0" applyNumberFormat="1" applyFont="1" applyFill="1" applyAlignment="1">
      <alignment vertical="top"/>
    </xf>
    <xf numFmtId="0" fontId="20" fillId="0" borderId="0" xfId="0" applyFont="1" applyFill="1"/>
    <xf numFmtId="0" fontId="19" fillId="0" borderId="0" xfId="0" applyFont="1" applyFill="1"/>
    <xf numFmtId="0" fontId="19" fillId="0" borderId="0" xfId="0" applyFont="1" applyFill="1" applyAlignment="1">
      <alignment vertical="top"/>
    </xf>
    <xf numFmtId="4" fontId="14" fillId="0" borderId="7" xfId="0" applyNumberFormat="1" applyFont="1" applyFill="1" applyBorder="1" applyAlignment="1">
      <alignment horizontal="right" vertical="top" wrapText="1"/>
    </xf>
    <xf numFmtId="2" fontId="16" fillId="0" borderId="16" xfId="0" applyNumberFormat="1" applyFont="1" applyFill="1" applyBorder="1" applyAlignment="1">
      <alignment horizontal="right" vertical="top" wrapText="1"/>
    </xf>
    <xf numFmtId="4" fontId="16" fillId="0" borderId="16" xfId="0" applyNumberFormat="1" applyFont="1" applyFill="1" applyBorder="1" applyAlignment="1">
      <alignment horizontal="right" vertical="top" wrapText="1"/>
    </xf>
    <xf numFmtId="4" fontId="15" fillId="0" borderId="5" xfId="0" applyNumberFormat="1" applyFont="1" applyFill="1" applyBorder="1" applyAlignment="1">
      <alignment vertical="top"/>
    </xf>
    <xf numFmtId="4" fontId="16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vertical="top"/>
    </xf>
    <xf numFmtId="0" fontId="16" fillId="0" borderId="0" xfId="0" applyFont="1" applyFill="1"/>
    <xf numFmtId="4" fontId="16" fillId="0" borderId="1" xfId="0" applyNumberFormat="1" applyFont="1" applyFill="1" applyBorder="1" applyAlignment="1">
      <alignment vertical="top"/>
    </xf>
    <xf numFmtId="4" fontId="15" fillId="0" borderId="18" xfId="0" applyNumberFormat="1" applyFont="1" applyFill="1" applyBorder="1" applyAlignment="1">
      <alignment horizontal="right" vertical="top" wrapText="1"/>
    </xf>
    <xf numFmtId="4" fontId="15" fillId="0" borderId="9" xfId="0" applyNumberFormat="1" applyFont="1" applyFill="1" applyBorder="1" applyAlignment="1">
      <alignment horizontal="right" vertical="top" wrapText="1"/>
    </xf>
    <xf numFmtId="4" fontId="16" fillId="0" borderId="9" xfId="0" applyNumberFormat="1" applyFont="1" applyFill="1" applyBorder="1" applyAlignment="1">
      <alignment horizontal="right" vertical="top" wrapText="1"/>
    </xf>
    <xf numFmtId="4" fontId="15" fillId="0" borderId="19" xfId="0" applyNumberFormat="1" applyFont="1" applyFill="1" applyBorder="1" applyAlignment="1">
      <alignment horizontal="right" vertical="top" wrapText="1"/>
    </xf>
    <xf numFmtId="4" fontId="15" fillId="0" borderId="20" xfId="0" applyNumberFormat="1" applyFont="1" applyFill="1" applyBorder="1" applyAlignment="1">
      <alignment horizontal="right" vertical="top" wrapText="1"/>
    </xf>
    <xf numFmtId="4" fontId="13" fillId="0" borderId="9" xfId="0" applyNumberFormat="1" applyFont="1" applyFill="1" applyBorder="1" applyAlignment="1">
      <alignment horizontal="right" vertical="top" wrapText="1"/>
    </xf>
    <xf numFmtId="4" fontId="15" fillId="0" borderId="5" xfId="0" applyNumberFormat="1" applyFont="1" applyFill="1" applyBorder="1" applyAlignment="1">
      <alignment horizontal="center" vertical="top"/>
    </xf>
    <xf numFmtId="4" fontId="16" fillId="0" borderId="1" xfId="0" quotePrefix="1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center" vertical="top"/>
    </xf>
    <xf numFmtId="4" fontId="16" fillId="0" borderId="11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horizontal="center" vertical="top" wrapText="1"/>
    </xf>
    <xf numFmtId="49" fontId="15" fillId="0" borderId="0" xfId="0" applyNumberFormat="1" applyFont="1" applyFill="1" applyAlignment="1">
      <alignment vertical="top" wrapText="1"/>
    </xf>
    <xf numFmtId="49" fontId="14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/>
    </xf>
    <xf numFmtId="49" fontId="15" fillId="0" borderId="0" xfId="0" applyNumberFormat="1" applyFont="1" applyFill="1" applyAlignment="1">
      <alignment vertical="top"/>
    </xf>
    <xf numFmtId="49" fontId="14" fillId="0" borderId="0" xfId="0" applyNumberFormat="1" applyFont="1" applyFill="1" applyAlignment="1">
      <alignment vertical="top"/>
    </xf>
    <xf numFmtId="4" fontId="16" fillId="0" borderId="5" xfId="0" applyNumberFormat="1" applyFont="1" applyFill="1" applyBorder="1" applyAlignment="1">
      <alignment vertical="top"/>
    </xf>
    <xf numFmtId="4" fontId="13" fillId="0" borderId="0" xfId="0" applyNumberFormat="1" applyFont="1" applyFill="1"/>
    <xf numFmtId="0" fontId="8" fillId="0" borderId="0" xfId="0" applyFont="1" applyFill="1" applyAlignment="1">
      <alignment vertical="justify"/>
    </xf>
    <xf numFmtId="0" fontId="13" fillId="0" borderId="0" xfId="0" applyFont="1" applyFill="1" applyAlignment="1">
      <alignment vertical="justify"/>
    </xf>
    <xf numFmtId="4" fontId="14" fillId="0" borderId="25" xfId="0" applyNumberFormat="1" applyFont="1" applyFill="1" applyBorder="1" applyAlignment="1">
      <alignment horizontal="right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5" fillId="0" borderId="20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16" fillId="0" borderId="16" xfId="0" applyFont="1" applyFill="1" applyBorder="1" applyAlignment="1">
      <alignment horizontal="center" vertical="top" wrapText="1"/>
    </xf>
    <xf numFmtId="0" fontId="14" fillId="0" borderId="16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4" fontId="14" fillId="0" borderId="16" xfId="0" applyNumberFormat="1" applyFont="1" applyFill="1" applyBorder="1" applyAlignment="1">
      <alignment horizontal="center" vertical="top" wrapText="1"/>
    </xf>
    <xf numFmtId="4" fontId="13" fillId="0" borderId="4" xfId="0" applyNumberFormat="1" applyFont="1" applyFill="1" applyBorder="1" applyAlignment="1">
      <alignment horizontal="right" vertical="justify" wrapText="1"/>
    </xf>
    <xf numFmtId="4" fontId="15" fillId="0" borderId="6" xfId="0" applyNumberFormat="1" applyFont="1" applyFill="1" applyBorder="1" applyAlignment="1">
      <alignment horizontal="right" vertical="justify" wrapText="1"/>
    </xf>
    <xf numFmtId="4" fontId="14" fillId="0" borderId="6" xfId="0" applyNumberFormat="1" applyFont="1" applyFill="1" applyBorder="1" applyAlignment="1">
      <alignment horizontal="right" vertical="justify" wrapText="1"/>
    </xf>
    <xf numFmtId="4" fontId="16" fillId="0" borderId="6" xfId="0" applyNumberFormat="1" applyFont="1" applyFill="1" applyBorder="1" applyAlignment="1">
      <alignment horizontal="right" vertical="justify" wrapText="1"/>
    </xf>
    <xf numFmtId="4" fontId="15" fillId="0" borderId="16" xfId="0" applyNumberFormat="1" applyFont="1" applyFill="1" applyBorder="1" applyAlignment="1">
      <alignment horizontal="right" vertical="justify" wrapText="1"/>
    </xf>
    <xf numFmtId="4" fontId="15" fillId="0" borderId="9" xfId="0" applyNumberFormat="1" applyFont="1" applyFill="1" applyBorder="1" applyAlignment="1">
      <alignment horizontal="right" vertical="justify" wrapText="1"/>
    </xf>
    <xf numFmtId="4" fontId="14" fillId="0" borderId="9" xfId="0" applyNumberFormat="1" applyFont="1" applyFill="1" applyBorder="1" applyAlignment="1">
      <alignment horizontal="right" vertical="justify" wrapText="1"/>
    </xf>
    <xf numFmtId="4" fontId="16" fillId="0" borderId="9" xfId="0" applyNumberFormat="1" applyFont="1" applyFill="1" applyBorder="1" applyAlignment="1">
      <alignment horizontal="right" vertical="justify" wrapText="1"/>
    </xf>
    <xf numFmtId="4" fontId="16" fillId="0" borderId="16" xfId="0" applyNumberFormat="1" applyFont="1" applyFill="1" applyBorder="1" applyAlignment="1">
      <alignment horizontal="right" vertical="justify" wrapText="1"/>
    </xf>
    <xf numFmtId="4" fontId="14" fillId="0" borderId="16" xfId="0" applyNumberFormat="1" applyFont="1" applyFill="1" applyBorder="1" applyAlignment="1">
      <alignment horizontal="right" vertical="justify" wrapText="1"/>
    </xf>
    <xf numFmtId="4" fontId="14" fillId="0" borderId="11" xfId="0" applyNumberFormat="1" applyFont="1" applyFill="1" applyBorder="1" applyAlignment="1">
      <alignment horizontal="right" vertical="justify" wrapText="1"/>
    </xf>
    <xf numFmtId="4" fontId="15" fillId="0" borderId="20" xfId="0" applyNumberFormat="1" applyFont="1" applyFill="1" applyBorder="1" applyAlignment="1">
      <alignment horizontal="right" vertical="justify" wrapText="1"/>
    </xf>
    <xf numFmtId="0" fontId="13" fillId="0" borderId="0" xfId="0" applyFont="1" applyFill="1" applyAlignment="1">
      <alignment horizontal="center" vertical="top"/>
    </xf>
    <xf numFmtId="0" fontId="15" fillId="0" borderId="16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4" fontId="13" fillId="0" borderId="20" xfId="0" applyNumberFormat="1" applyFont="1" applyFill="1" applyBorder="1" applyAlignment="1">
      <alignment horizontal="right" vertical="top" wrapText="1"/>
    </xf>
    <xf numFmtId="0" fontId="10" fillId="0" borderId="0" xfId="0" applyFont="1" applyFill="1" applyAlignment="1">
      <alignment horizontal="center" vertical="top"/>
    </xf>
    <xf numFmtId="14" fontId="13" fillId="0" borderId="4" xfId="0" applyNumberFormat="1" applyFont="1" applyFill="1" applyBorder="1" applyAlignment="1">
      <alignment horizontal="center" vertical="top" wrapText="1"/>
    </xf>
    <xf numFmtId="2" fontId="14" fillId="0" borderId="16" xfId="0" applyNumberFormat="1" applyFont="1" applyFill="1" applyBorder="1" applyAlignment="1">
      <alignment horizontal="right" vertical="top" wrapText="1"/>
    </xf>
    <xf numFmtId="164" fontId="16" fillId="0" borderId="9" xfId="1" applyFont="1" applyFill="1" applyBorder="1" applyAlignment="1">
      <alignment horizontal="right" vertical="top" wrapText="1"/>
    </xf>
    <xf numFmtId="4" fontId="14" fillId="0" borderId="12" xfId="0" applyNumberFormat="1" applyFont="1" applyFill="1" applyBorder="1" applyAlignment="1">
      <alignment horizontal="right" vertical="top" wrapText="1"/>
    </xf>
    <xf numFmtId="2" fontId="15" fillId="0" borderId="0" xfId="0" applyNumberFormat="1" applyFont="1" applyFill="1" applyAlignment="1">
      <alignment vertical="top" wrapText="1"/>
    </xf>
    <xf numFmtId="4" fontId="14" fillId="0" borderId="16" xfId="0" applyNumberFormat="1" applyFont="1" applyFill="1" applyBorder="1" applyAlignment="1">
      <alignment vertical="top" wrapText="1"/>
    </xf>
    <xf numFmtId="49" fontId="25" fillId="0" borderId="0" xfId="0" applyNumberFormat="1" applyFont="1" applyFill="1" applyAlignment="1">
      <alignment vertical="top" wrapText="1"/>
    </xf>
    <xf numFmtId="49" fontId="25" fillId="0" borderId="0" xfId="0" applyNumberFormat="1" applyFont="1" applyFill="1" applyAlignment="1">
      <alignment horizontal="center" vertical="top" wrapText="1"/>
    </xf>
    <xf numFmtId="49" fontId="26" fillId="0" borderId="0" xfId="0" applyNumberFormat="1" applyFont="1" applyFill="1" applyAlignment="1">
      <alignment horizontal="center" vertical="center" wrapText="1"/>
    </xf>
    <xf numFmtId="2" fontId="27" fillId="0" borderId="0" xfId="0" applyNumberFormat="1" applyFont="1" applyFill="1" applyAlignment="1">
      <alignment vertical="top" wrapText="1"/>
    </xf>
    <xf numFmtId="49" fontId="27" fillId="0" borderId="0" xfId="0" applyNumberFormat="1" applyFont="1" applyFill="1" applyAlignment="1">
      <alignment vertical="top" wrapText="1"/>
    </xf>
    <xf numFmtId="49" fontId="28" fillId="0" borderId="30" xfId="0" applyNumberFormat="1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justify"/>
    </xf>
    <xf numFmtId="0" fontId="27" fillId="0" borderId="0" xfId="0" applyFont="1" applyFill="1" applyAlignment="1">
      <alignment horizontal="center" vertical="top"/>
    </xf>
    <xf numFmtId="0" fontId="26" fillId="0" borderId="0" xfId="0" applyFont="1" applyFill="1"/>
    <xf numFmtId="0" fontId="30" fillId="0" borderId="0" xfId="0" applyFont="1" applyFill="1" applyAlignment="1">
      <alignment vertical="top"/>
    </xf>
    <xf numFmtId="0" fontId="26" fillId="0" borderId="0" xfId="0" applyFont="1" applyFill="1" applyAlignment="1">
      <alignment vertical="justify"/>
    </xf>
    <xf numFmtId="0" fontId="26" fillId="0" borderId="0" xfId="0" applyFont="1" applyFill="1" applyAlignment="1">
      <alignment horizontal="center" vertical="top"/>
    </xf>
    <xf numFmtId="0" fontId="31" fillId="0" borderId="0" xfId="0" applyFont="1" applyFill="1" applyAlignment="1">
      <alignment horizontal="right"/>
    </xf>
    <xf numFmtId="0" fontId="33" fillId="0" borderId="21" xfId="0" applyFont="1" applyFill="1" applyBorder="1" applyAlignment="1">
      <alignment horizontal="center" vertical="top" wrapText="1"/>
    </xf>
    <xf numFmtId="0" fontId="34" fillId="0" borderId="23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49" fontId="28" fillId="0" borderId="2" xfId="0" applyNumberFormat="1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justify" wrapText="1"/>
    </xf>
    <xf numFmtId="0" fontId="27" fillId="0" borderId="4" xfId="0" applyFont="1" applyFill="1" applyBorder="1" applyAlignment="1">
      <alignment horizontal="center" vertical="top" wrapText="1"/>
    </xf>
    <xf numFmtId="4" fontId="27" fillId="0" borderId="4" xfId="0" applyNumberFormat="1" applyFont="1" applyFill="1" applyBorder="1" applyAlignment="1">
      <alignment horizontal="right" vertical="justify" wrapText="1"/>
    </xf>
    <xf numFmtId="4" fontId="27" fillId="0" borderId="4" xfId="0" applyNumberFormat="1" applyFont="1" applyFill="1" applyBorder="1" applyAlignment="1">
      <alignment horizontal="right" vertical="top" wrapText="1"/>
    </xf>
    <xf numFmtId="4" fontId="27" fillId="0" borderId="3" xfId="0" applyNumberFormat="1" applyFont="1" applyFill="1" applyBorder="1" applyAlignment="1">
      <alignment horizontal="right" vertical="top" wrapText="1"/>
    </xf>
    <xf numFmtId="49" fontId="35" fillId="0" borderId="7" xfId="0" quotePrefix="1" applyNumberFormat="1" applyFont="1" applyFill="1" applyBorder="1" applyAlignment="1">
      <alignment horizontal="center" vertical="top" wrapText="1"/>
    </xf>
    <xf numFmtId="49" fontId="35" fillId="0" borderId="7" xfId="0" applyNumberFormat="1" applyFont="1" applyFill="1" applyBorder="1" applyAlignment="1">
      <alignment horizontal="center" vertical="top" wrapText="1"/>
    </xf>
    <xf numFmtId="0" fontId="35" fillId="0" borderId="7" xfId="0" applyFont="1" applyFill="1" applyBorder="1" applyAlignment="1">
      <alignment vertical="top" wrapText="1"/>
    </xf>
    <xf numFmtId="0" fontId="35" fillId="0" borderId="7" xfId="0" applyFont="1" applyFill="1" applyBorder="1" applyAlignment="1">
      <alignment horizontal="center" vertical="justify" wrapText="1"/>
    </xf>
    <xf numFmtId="0" fontId="35" fillId="0" borderId="6" xfId="0" applyFont="1" applyFill="1" applyBorder="1" applyAlignment="1">
      <alignment horizontal="center" vertical="top" wrapText="1"/>
    </xf>
    <xf numFmtId="4" fontId="35" fillId="0" borderId="6" xfId="0" applyNumberFormat="1" applyFont="1" applyFill="1" applyBorder="1" applyAlignment="1">
      <alignment horizontal="right" vertical="justify" wrapText="1"/>
    </xf>
    <xf numFmtId="4" fontId="35" fillId="0" borderId="6" xfId="0" applyNumberFormat="1" applyFont="1" applyFill="1" applyBorder="1" applyAlignment="1">
      <alignment horizontal="right" vertical="top" wrapText="1"/>
    </xf>
    <xf numFmtId="4" fontId="35" fillId="0" borderId="8" xfId="0" applyNumberFormat="1" applyFont="1" applyFill="1" applyBorder="1" applyAlignment="1">
      <alignment horizontal="right" vertical="top" wrapText="1"/>
    </xf>
    <xf numFmtId="0" fontId="28" fillId="0" borderId="7" xfId="0" quotePrefix="1" applyFont="1" applyFill="1" applyBorder="1" applyAlignment="1">
      <alignment horizontal="center" vertical="top" wrapText="1"/>
    </xf>
    <xf numFmtId="49" fontId="28" fillId="0" borderId="7" xfId="0" applyNumberFormat="1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vertical="top" wrapText="1"/>
    </xf>
    <xf numFmtId="0" fontId="28" fillId="0" borderId="7" xfId="0" applyFont="1" applyFill="1" applyBorder="1" applyAlignment="1">
      <alignment horizontal="center" vertical="justify" wrapText="1"/>
    </xf>
    <xf numFmtId="0" fontId="28" fillId="0" borderId="6" xfId="0" applyFont="1" applyFill="1" applyBorder="1" applyAlignment="1">
      <alignment horizontal="center" vertical="top" wrapText="1"/>
    </xf>
    <xf numFmtId="4" fontId="28" fillId="0" borderId="6" xfId="0" applyNumberFormat="1" applyFont="1" applyFill="1" applyBorder="1" applyAlignment="1">
      <alignment horizontal="right" vertical="justify" wrapText="1"/>
    </xf>
    <xf numFmtId="4" fontId="28" fillId="0" borderId="6" xfId="0" applyNumberFormat="1" applyFont="1" applyFill="1" applyBorder="1" applyAlignment="1">
      <alignment horizontal="right" vertical="top" wrapText="1"/>
    </xf>
    <xf numFmtId="2" fontId="28" fillId="0" borderId="6" xfId="0" applyNumberFormat="1" applyFont="1" applyFill="1" applyBorder="1" applyAlignment="1">
      <alignment horizontal="right" vertical="top" wrapText="1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28" fillId="0" borderId="0" xfId="0" applyFont="1" applyFill="1"/>
    <xf numFmtId="4" fontId="27" fillId="0" borderId="0" xfId="0" applyNumberFormat="1" applyFont="1" applyFill="1"/>
    <xf numFmtId="0" fontId="27" fillId="0" borderId="0" xfId="0" applyFont="1" applyFill="1"/>
    <xf numFmtId="49" fontId="35" fillId="0" borderId="15" xfId="0" applyNumberFormat="1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vertical="top" wrapText="1"/>
    </xf>
    <xf numFmtId="0" fontId="35" fillId="0" borderId="15" xfId="0" applyFont="1" applyFill="1" applyBorder="1" applyAlignment="1">
      <alignment horizontal="center" vertical="justify" wrapText="1"/>
    </xf>
    <xf numFmtId="0" fontId="35" fillId="0" borderId="16" xfId="0" applyFont="1" applyFill="1" applyBorder="1" applyAlignment="1">
      <alignment horizontal="center" vertical="top" wrapText="1"/>
    </xf>
    <xf numFmtId="4" fontId="35" fillId="0" borderId="16" xfId="0" applyNumberFormat="1" applyFont="1" applyFill="1" applyBorder="1" applyAlignment="1">
      <alignment horizontal="right" vertical="justify" wrapText="1"/>
    </xf>
    <xf numFmtId="4" fontId="35" fillId="0" borderId="16" xfId="0" applyNumberFormat="1" applyFont="1" applyFill="1" applyBorder="1" applyAlignment="1">
      <alignment horizontal="right" vertical="top" wrapText="1"/>
    </xf>
    <xf numFmtId="4" fontId="35" fillId="0" borderId="17" xfId="0" applyNumberFormat="1" applyFont="1" applyFill="1" applyBorder="1" applyAlignment="1">
      <alignment horizontal="right" vertical="top" wrapText="1"/>
    </xf>
    <xf numFmtId="4" fontId="28" fillId="0" borderId="8" xfId="0" applyNumberFormat="1" applyFont="1" applyFill="1" applyBorder="1" applyAlignment="1">
      <alignment horizontal="right" vertical="top" wrapText="1"/>
    </xf>
    <xf numFmtId="4" fontId="28" fillId="0" borderId="7" xfId="0" applyNumberFormat="1" applyFont="1" applyFill="1" applyBorder="1" applyAlignment="1">
      <alignment horizontal="center" vertical="justify" wrapText="1"/>
    </xf>
    <xf numFmtId="4" fontId="28" fillId="0" borderId="6" xfId="0" applyNumberFormat="1" applyFont="1" applyFill="1" applyBorder="1" applyAlignment="1">
      <alignment horizontal="center" vertical="top" wrapText="1"/>
    </xf>
    <xf numFmtId="0" fontId="28" fillId="0" borderId="13" xfId="0" quotePrefix="1" applyFont="1" applyFill="1" applyBorder="1" applyAlignment="1">
      <alignment horizontal="center" vertical="top" wrapText="1"/>
    </xf>
    <xf numFmtId="49" fontId="28" fillId="0" borderId="13" xfId="0" applyNumberFormat="1" applyFont="1" applyFill="1" applyBorder="1" applyAlignment="1">
      <alignment horizontal="center" vertical="top" wrapText="1"/>
    </xf>
    <xf numFmtId="49" fontId="28" fillId="0" borderId="7" xfId="0" quotePrefix="1" applyNumberFormat="1" applyFont="1" applyFill="1" applyBorder="1" applyAlignment="1">
      <alignment horizontal="center" vertical="top" wrapText="1"/>
    </xf>
    <xf numFmtId="2" fontId="35" fillId="0" borderId="0" xfId="0" applyNumberFormat="1" applyFont="1" applyFill="1" applyAlignment="1">
      <alignment vertical="top" wrapText="1"/>
    </xf>
    <xf numFmtId="49" fontId="35" fillId="0" borderId="0" xfId="0" applyNumberFormat="1" applyFont="1" applyFill="1" applyAlignment="1">
      <alignment vertical="top" wrapText="1"/>
    </xf>
    <xf numFmtId="0" fontId="28" fillId="0" borderId="7" xfId="0" quotePrefix="1" applyFont="1" applyFill="1" applyBorder="1" applyAlignment="1">
      <alignment vertical="top" wrapText="1"/>
    </xf>
    <xf numFmtId="0" fontId="28" fillId="0" borderId="7" xfId="0" applyFont="1" applyFill="1" applyBorder="1" applyAlignment="1">
      <alignment horizontal="center" vertical="top" wrapText="1"/>
    </xf>
    <xf numFmtId="0" fontId="36" fillId="0" borderId="7" xfId="0" quotePrefix="1" applyFont="1" applyFill="1" applyBorder="1" applyAlignment="1">
      <alignment horizontal="center" vertical="top" wrapText="1"/>
    </xf>
    <xf numFmtId="49" fontId="36" fillId="0" borderId="7" xfId="0" applyNumberFormat="1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vertical="top" wrapText="1"/>
    </xf>
    <xf numFmtId="0" fontId="36" fillId="0" borderId="7" xfId="0" applyFont="1" applyFill="1" applyBorder="1" applyAlignment="1">
      <alignment horizontal="center" vertical="top" wrapText="1"/>
    </xf>
    <xf numFmtId="0" fontId="36" fillId="0" borderId="6" xfId="0" applyFont="1" applyFill="1" applyBorder="1" applyAlignment="1">
      <alignment horizontal="center" vertical="top" wrapText="1"/>
    </xf>
    <xf numFmtId="4" fontId="36" fillId="0" borderId="6" xfId="0" applyNumberFormat="1" applyFont="1" applyFill="1" applyBorder="1" applyAlignment="1">
      <alignment horizontal="right" vertical="justify" wrapText="1"/>
    </xf>
    <xf numFmtId="4" fontId="36" fillId="0" borderId="6" xfId="0" applyNumberFormat="1" applyFont="1" applyFill="1" applyBorder="1" applyAlignment="1">
      <alignment horizontal="right" vertical="top" wrapText="1"/>
    </xf>
    <xf numFmtId="2" fontId="36" fillId="0" borderId="6" xfId="0" applyNumberFormat="1" applyFont="1" applyFill="1" applyBorder="1" applyAlignment="1">
      <alignment horizontal="right" vertical="top" wrapText="1"/>
    </xf>
    <xf numFmtId="49" fontId="35" fillId="0" borderId="15" xfId="0" quotePrefix="1" applyNumberFormat="1" applyFont="1" applyFill="1" applyBorder="1" applyAlignment="1">
      <alignment horizontal="center" vertical="top" wrapText="1"/>
    </xf>
    <xf numFmtId="0" fontId="35" fillId="0" borderId="13" xfId="0" applyFont="1" applyFill="1" applyBorder="1" applyAlignment="1">
      <alignment horizontal="center" vertical="justify" wrapText="1"/>
    </xf>
    <xf numFmtId="0" fontId="35" fillId="0" borderId="9" xfId="0" applyFont="1" applyFill="1" applyBorder="1" applyAlignment="1">
      <alignment horizontal="center" vertical="top" wrapText="1"/>
    </xf>
    <xf numFmtId="4" fontId="35" fillId="0" borderId="9" xfId="0" applyNumberFormat="1" applyFont="1" applyFill="1" applyBorder="1" applyAlignment="1">
      <alignment horizontal="right" vertical="justify" wrapText="1"/>
    </xf>
    <xf numFmtId="0" fontId="28" fillId="0" borderId="13" xfId="0" applyFont="1" applyFill="1" applyBorder="1" applyAlignment="1">
      <alignment horizontal="center" vertical="justify" wrapText="1"/>
    </xf>
    <xf numFmtId="0" fontId="28" fillId="0" borderId="9" xfId="0" applyFont="1" applyFill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right" vertical="justify" wrapText="1"/>
    </xf>
    <xf numFmtId="4" fontId="28" fillId="0" borderId="9" xfId="0" applyNumberFormat="1" applyFont="1" applyFill="1" applyBorder="1" applyAlignment="1">
      <alignment horizontal="right" vertical="top" wrapText="1"/>
    </xf>
    <xf numFmtId="2" fontId="28" fillId="0" borderId="9" xfId="0" applyNumberFormat="1" applyFont="1" applyFill="1" applyBorder="1" applyAlignment="1">
      <alignment horizontal="right" vertical="top" wrapText="1"/>
    </xf>
    <xf numFmtId="0" fontId="28" fillId="0" borderId="13" xfId="0" applyFont="1" applyFill="1" applyBorder="1" applyAlignment="1">
      <alignment horizontal="center" vertical="top" wrapText="1"/>
    </xf>
    <xf numFmtId="0" fontId="36" fillId="0" borderId="0" xfId="0" applyFont="1" applyFill="1"/>
    <xf numFmtId="49" fontId="27" fillId="0" borderId="2" xfId="0" applyNumberFormat="1" applyFont="1" applyFill="1" applyBorder="1" applyAlignment="1">
      <alignment horizontal="center" vertical="top" wrapText="1"/>
    </xf>
    <xf numFmtId="0" fontId="27" fillId="3" borderId="2" xfId="0" applyFont="1" applyFill="1" applyBorder="1" applyAlignment="1">
      <alignment horizontal="center" vertical="justify" wrapText="1"/>
    </xf>
    <xf numFmtId="0" fontId="28" fillId="0" borderId="13" xfId="0" quotePrefix="1" applyFont="1" applyFill="1" applyBorder="1" applyAlignment="1">
      <alignment vertical="top" wrapText="1"/>
    </xf>
    <xf numFmtId="0" fontId="35" fillId="0" borderId="0" xfId="0" applyFont="1" applyFill="1"/>
    <xf numFmtId="0" fontId="27" fillId="3" borderId="4" xfId="0" applyFont="1" applyFill="1" applyBorder="1" applyAlignment="1">
      <alignment horizontal="center" vertical="top" wrapText="1"/>
    </xf>
    <xf numFmtId="0" fontId="36" fillId="0" borderId="7" xfId="0" applyFont="1" applyFill="1" applyBorder="1" applyAlignment="1">
      <alignment vertical="top" wrapText="1"/>
    </xf>
    <xf numFmtId="0" fontId="36" fillId="0" borderId="13" xfId="0" applyFont="1" applyFill="1" applyBorder="1" applyAlignment="1">
      <alignment horizontal="center" vertical="justify" wrapText="1"/>
    </xf>
    <xf numFmtId="0" fontId="36" fillId="0" borderId="9" xfId="0" applyFont="1" applyFill="1" applyBorder="1" applyAlignment="1">
      <alignment horizontal="center" vertical="top" wrapText="1"/>
    </xf>
    <xf numFmtId="4" fontId="36" fillId="0" borderId="9" xfId="0" applyNumberFormat="1" applyFont="1" applyFill="1" applyBorder="1" applyAlignment="1">
      <alignment horizontal="right" vertical="justify" wrapText="1"/>
    </xf>
    <xf numFmtId="4" fontId="36" fillId="0" borderId="9" xfId="0" applyNumberFormat="1" applyFont="1" applyFill="1" applyBorder="1" applyAlignment="1">
      <alignment horizontal="right" vertical="top" wrapText="1"/>
    </xf>
    <xf numFmtId="0" fontId="36" fillId="0" borderId="13" xfId="0" applyFont="1" applyFill="1" applyBorder="1" applyAlignment="1">
      <alignment horizontal="center" vertical="top" wrapText="1"/>
    </xf>
    <xf numFmtId="0" fontId="35" fillId="0" borderId="13" xfId="0" applyFont="1" applyFill="1" applyBorder="1" applyAlignment="1">
      <alignment horizontal="center" vertical="top" wrapText="1"/>
    </xf>
    <xf numFmtId="49" fontId="35" fillId="0" borderId="13" xfId="0" applyNumberFormat="1" applyFont="1" applyFill="1" applyBorder="1" applyAlignment="1">
      <alignment horizontal="center" vertical="top" wrapText="1"/>
    </xf>
    <xf numFmtId="0" fontId="35" fillId="0" borderId="13" xfId="0" applyFont="1" applyFill="1" applyBorder="1" applyAlignment="1">
      <alignment vertical="top" wrapText="1"/>
    </xf>
    <xf numFmtId="0" fontId="27" fillId="0" borderId="13" xfId="0" applyFont="1" applyFill="1" applyBorder="1" applyAlignment="1">
      <alignment horizontal="center" vertical="top" wrapText="1"/>
    </xf>
    <xf numFmtId="0" fontId="27" fillId="0" borderId="9" xfId="0" applyFont="1" applyFill="1" applyBorder="1" applyAlignment="1">
      <alignment horizontal="center" vertical="top" wrapText="1"/>
    </xf>
    <xf numFmtId="4" fontId="35" fillId="0" borderId="9" xfId="0" applyNumberFormat="1" applyFont="1" applyFill="1" applyBorder="1" applyAlignment="1">
      <alignment horizontal="right" vertical="top" wrapText="1"/>
    </xf>
    <xf numFmtId="0" fontId="28" fillId="0" borderId="12" xfId="0" quotePrefix="1" applyFont="1" applyFill="1" applyBorder="1" applyAlignment="1">
      <alignment horizontal="center" vertical="top" wrapText="1"/>
    </xf>
    <xf numFmtId="0" fontId="28" fillId="0" borderId="12" xfId="0" applyFont="1" applyFill="1" applyBorder="1" applyAlignment="1">
      <alignment horizontal="center" vertical="top" wrapText="1"/>
    </xf>
    <xf numFmtId="49" fontId="28" fillId="0" borderId="12" xfId="0" applyNumberFormat="1" applyFont="1" applyFill="1" applyBorder="1" applyAlignment="1">
      <alignment horizontal="center" vertical="top" wrapText="1"/>
    </xf>
    <xf numFmtId="0" fontId="28" fillId="0" borderId="12" xfId="0" applyFont="1" applyFill="1" applyBorder="1" applyAlignment="1">
      <alignment vertical="top" wrapText="1"/>
    </xf>
    <xf numFmtId="0" fontId="28" fillId="0" borderId="11" xfId="0" applyFont="1" applyFill="1" applyBorder="1" applyAlignment="1">
      <alignment horizontal="center" vertical="top" wrapText="1"/>
    </xf>
    <xf numFmtId="4" fontId="28" fillId="0" borderId="11" xfId="0" applyNumberFormat="1" applyFont="1" applyFill="1" applyBorder="1" applyAlignment="1">
      <alignment horizontal="right" vertical="top" wrapText="1"/>
    </xf>
    <xf numFmtId="0" fontId="35" fillId="0" borderId="23" xfId="0" applyFont="1" applyFill="1" applyBorder="1" applyAlignment="1">
      <alignment horizontal="center" vertical="justify" wrapText="1"/>
    </xf>
    <xf numFmtId="0" fontId="35" fillId="0" borderId="20" xfId="0" applyFont="1" applyFill="1" applyBorder="1" applyAlignment="1">
      <alignment horizontal="center" vertical="top" wrapText="1"/>
    </xf>
    <xf numFmtId="4" fontId="35" fillId="0" borderId="20" xfId="0" applyNumberFormat="1" applyFont="1" applyFill="1" applyBorder="1" applyAlignment="1">
      <alignment horizontal="right" vertical="justify" wrapText="1"/>
    </xf>
    <xf numFmtId="4" fontId="35" fillId="0" borderId="20" xfId="0" applyNumberFormat="1" applyFont="1" applyFill="1" applyBorder="1" applyAlignment="1">
      <alignment horizontal="right" vertical="top" wrapText="1"/>
    </xf>
    <xf numFmtId="49" fontId="28" fillId="0" borderId="12" xfId="0" quotePrefix="1" applyNumberFormat="1" applyFont="1" applyFill="1" applyBorder="1" applyAlignment="1">
      <alignment horizontal="center" vertical="top" wrapText="1"/>
    </xf>
    <xf numFmtId="0" fontId="28" fillId="0" borderId="12" xfId="0" applyFont="1" applyFill="1" applyBorder="1" applyAlignment="1">
      <alignment horizontal="center" vertical="justify" wrapText="1"/>
    </xf>
    <xf numFmtId="0" fontId="28" fillId="0" borderId="15" xfId="0" applyFont="1" applyFill="1" applyBorder="1" applyAlignment="1">
      <alignment horizontal="center" vertical="justify" wrapText="1"/>
    </xf>
    <xf numFmtId="0" fontId="28" fillId="0" borderId="16" xfId="0" applyFont="1" applyFill="1" applyBorder="1" applyAlignment="1">
      <alignment horizontal="center" vertical="top" wrapText="1"/>
    </xf>
    <xf numFmtId="4" fontId="28" fillId="0" borderId="16" xfId="0" applyNumberFormat="1" applyFont="1" applyFill="1" applyBorder="1" applyAlignment="1">
      <alignment horizontal="right" vertical="justify" wrapText="1"/>
    </xf>
    <xf numFmtId="4" fontId="28" fillId="0" borderId="16" xfId="0" applyNumberFormat="1" applyFont="1" applyFill="1" applyBorder="1" applyAlignment="1">
      <alignment horizontal="right" vertical="top" wrapText="1"/>
    </xf>
    <xf numFmtId="4" fontId="35" fillId="0" borderId="19" xfId="0" applyNumberFormat="1" applyFont="1" applyFill="1" applyBorder="1" applyAlignment="1">
      <alignment horizontal="right" vertical="top" wrapText="1"/>
    </xf>
    <xf numFmtId="4" fontId="28" fillId="0" borderId="11" xfId="0" applyNumberFormat="1" applyFont="1" applyFill="1" applyBorder="1" applyAlignment="1">
      <alignment horizontal="right" vertical="justify" wrapText="1"/>
    </xf>
    <xf numFmtId="0" fontId="35" fillId="0" borderId="7" xfId="0" applyFont="1" applyFill="1" applyBorder="1" applyAlignment="1">
      <alignment horizontal="center" vertical="top" wrapText="1"/>
    </xf>
    <xf numFmtId="4" fontId="35" fillId="0" borderId="7" xfId="0" applyNumberFormat="1" applyFont="1" applyFill="1" applyBorder="1" applyAlignment="1">
      <alignment horizontal="right" vertical="top" wrapText="1"/>
    </xf>
    <xf numFmtId="49" fontId="35" fillId="0" borderId="23" xfId="0" applyNumberFormat="1" applyFont="1" applyFill="1" applyBorder="1" applyAlignment="1">
      <alignment horizontal="center" vertical="top" wrapText="1"/>
    </xf>
    <xf numFmtId="0" fontId="35" fillId="0" borderId="23" xfId="0" applyFont="1" applyFill="1" applyBorder="1" applyAlignment="1">
      <alignment vertical="top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horizontal="left" vertical="center" wrapText="1"/>
    </xf>
    <xf numFmtId="4" fontId="28" fillId="0" borderId="7" xfId="0" applyNumberFormat="1" applyFont="1" applyFill="1" applyBorder="1" applyAlignment="1">
      <alignment horizontal="right" vertical="top" wrapText="1"/>
    </xf>
    <xf numFmtId="4" fontId="28" fillId="0" borderId="14" xfId="0" applyNumberFormat="1" applyFont="1" applyFill="1" applyBorder="1" applyAlignment="1">
      <alignment horizontal="right" vertical="top" wrapText="1"/>
    </xf>
    <xf numFmtId="49" fontId="28" fillId="0" borderId="15" xfId="0" applyNumberFormat="1" applyFont="1" applyFill="1" applyBorder="1" applyAlignment="1">
      <alignment horizontal="center" vertical="top" wrapText="1"/>
    </xf>
    <xf numFmtId="0" fontId="27" fillId="0" borderId="15" xfId="0" applyFont="1" applyFill="1" applyBorder="1" applyAlignment="1">
      <alignment horizontal="center" vertical="top" wrapText="1"/>
    </xf>
    <xf numFmtId="0" fontId="27" fillId="0" borderId="15" xfId="0" applyFont="1" applyFill="1" applyBorder="1" applyAlignment="1">
      <alignment horizontal="center" vertical="justify" wrapText="1"/>
    </xf>
    <xf numFmtId="0" fontId="27" fillId="0" borderId="16" xfId="0" applyFont="1" applyFill="1" applyBorder="1" applyAlignment="1">
      <alignment horizontal="center" vertical="top" wrapText="1"/>
    </xf>
    <xf numFmtId="4" fontId="27" fillId="0" borderId="16" xfId="0" applyNumberFormat="1" applyFont="1" applyFill="1" applyBorder="1" applyAlignment="1">
      <alignment horizontal="right" vertical="justify" wrapText="1"/>
    </xf>
    <xf numFmtId="4" fontId="27" fillId="0" borderId="16" xfId="0" applyNumberFormat="1" applyFont="1" applyFill="1" applyBorder="1" applyAlignment="1">
      <alignment horizontal="right" vertical="top" wrapText="1"/>
    </xf>
    <xf numFmtId="4" fontId="28" fillId="0" borderId="10" xfId="0" applyNumberFormat="1" applyFont="1" applyFill="1" applyBorder="1" applyAlignment="1">
      <alignment horizontal="right" vertical="top" wrapText="1"/>
    </xf>
    <xf numFmtId="0" fontId="36" fillId="0" borderId="7" xfId="0" applyFont="1" applyFill="1" applyBorder="1" applyAlignment="1">
      <alignment horizontal="center" vertical="justify" wrapText="1"/>
    </xf>
    <xf numFmtId="0" fontId="28" fillId="0" borderId="15" xfId="0" applyFont="1" applyFill="1" applyBorder="1" applyAlignment="1">
      <alignment horizontal="left" vertical="center" wrapText="1"/>
    </xf>
    <xf numFmtId="0" fontId="36" fillId="0" borderId="15" xfId="0" applyFont="1" applyFill="1" applyBorder="1" applyAlignment="1">
      <alignment horizontal="center" vertical="top" wrapText="1"/>
    </xf>
    <xf numFmtId="49" fontId="36" fillId="0" borderId="15" xfId="0" applyNumberFormat="1" applyFont="1" applyFill="1" applyBorder="1" applyAlignment="1">
      <alignment horizontal="center" vertical="top" wrapText="1"/>
    </xf>
    <xf numFmtId="0" fontId="36" fillId="0" borderId="23" xfId="0" applyFont="1" applyFill="1" applyBorder="1"/>
    <xf numFmtId="0" fontId="36" fillId="0" borderId="16" xfId="0" applyFont="1" applyFill="1" applyBorder="1" applyAlignment="1">
      <alignment horizontal="center" vertical="top" wrapText="1"/>
    </xf>
    <xf numFmtId="4" fontId="36" fillId="0" borderId="16" xfId="0" applyNumberFormat="1" applyFont="1" applyFill="1" applyBorder="1" applyAlignment="1">
      <alignment horizontal="right" vertical="justify" wrapText="1"/>
    </xf>
    <xf numFmtId="4" fontId="36" fillId="0" borderId="16" xfId="0" applyNumberFormat="1" applyFont="1" applyFill="1" applyBorder="1" applyAlignment="1">
      <alignment horizontal="right" vertical="top" wrapText="1"/>
    </xf>
    <xf numFmtId="49" fontId="33" fillId="0" borderId="0" xfId="0" applyNumberFormat="1" applyFont="1" applyFill="1" applyAlignment="1">
      <alignment vertical="top" wrapText="1"/>
    </xf>
    <xf numFmtId="0" fontId="28" fillId="0" borderId="24" xfId="0" applyFont="1" applyFill="1" applyBorder="1" applyAlignment="1">
      <alignment horizontal="center" vertical="justify" wrapText="1"/>
    </xf>
    <xf numFmtId="0" fontId="28" fillId="0" borderId="22" xfId="0" applyFont="1" applyFill="1" applyBorder="1" applyAlignment="1">
      <alignment horizontal="center" vertical="top" wrapText="1"/>
    </xf>
    <xf numFmtId="4" fontId="27" fillId="0" borderId="22" xfId="0" applyNumberFormat="1" applyFont="1" applyFill="1" applyBorder="1" applyAlignment="1">
      <alignment horizontal="right" wrapText="1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vertical="top"/>
    </xf>
    <xf numFmtId="0" fontId="31" fillId="0" borderId="0" xfId="0" applyFont="1" applyFill="1" applyAlignment="1">
      <alignment vertical="justify"/>
    </xf>
    <xf numFmtId="0" fontId="31" fillId="0" borderId="0" xfId="0" applyFont="1" applyFill="1" applyAlignment="1">
      <alignment horizontal="center" vertical="top"/>
    </xf>
    <xf numFmtId="0" fontId="31" fillId="0" borderId="0" xfId="0" applyFont="1" applyFill="1"/>
    <xf numFmtId="4" fontId="31" fillId="0" borderId="0" xfId="0" applyNumberFormat="1" applyFont="1" applyFill="1"/>
    <xf numFmtId="0" fontId="28" fillId="0" borderId="0" xfId="0" applyFont="1" applyFill="1" applyAlignment="1">
      <alignment wrapText="1"/>
    </xf>
    <xf numFmtId="49" fontId="37" fillId="0" borderId="0" xfId="0" applyNumberFormat="1" applyFont="1" applyFill="1" applyAlignment="1">
      <alignment vertical="top" wrapText="1"/>
    </xf>
    <xf numFmtId="49" fontId="38" fillId="0" borderId="0" xfId="0" applyNumberFormat="1" applyFont="1" applyFill="1" applyAlignment="1">
      <alignment vertical="top" wrapText="1"/>
    </xf>
    <xf numFmtId="49" fontId="31" fillId="0" borderId="0" xfId="0" applyNumberFormat="1" applyFont="1" applyFill="1" applyAlignment="1">
      <alignment vertical="top" wrapText="1"/>
    </xf>
    <xf numFmtId="49" fontId="39" fillId="0" borderId="0" xfId="0" applyNumberFormat="1" applyFont="1" applyFill="1" applyAlignment="1">
      <alignment vertical="top" wrapText="1"/>
    </xf>
    <xf numFmtId="0" fontId="33" fillId="0" borderId="0" xfId="0" applyFont="1" applyFill="1" applyAlignment="1">
      <alignment vertical="top" wrapText="1"/>
    </xf>
    <xf numFmtId="0" fontId="31" fillId="0" borderId="0" xfId="0" applyFont="1" applyFill="1" applyAlignment="1">
      <alignment horizontal="right" vertical="justify"/>
    </xf>
    <xf numFmtId="4" fontId="33" fillId="0" borderId="0" xfId="0" applyNumberFormat="1" applyFont="1" applyFill="1"/>
    <xf numFmtId="0" fontId="37" fillId="0" borderId="0" xfId="0" applyFont="1" applyFill="1"/>
    <xf numFmtId="0" fontId="37" fillId="0" borderId="0" xfId="0" applyFont="1" applyFill="1" applyAlignment="1">
      <alignment vertical="top"/>
    </xf>
    <xf numFmtId="0" fontId="37" fillId="0" borderId="0" xfId="0" applyFont="1" applyFill="1" applyAlignment="1">
      <alignment horizontal="right" vertical="justify"/>
    </xf>
    <xf numFmtId="0" fontId="37" fillId="0" borderId="0" xfId="0" applyFont="1" applyFill="1" applyAlignment="1">
      <alignment horizontal="center" vertical="top"/>
    </xf>
    <xf numFmtId="4" fontId="37" fillId="0" borderId="0" xfId="0" applyNumberFormat="1" applyFont="1" applyFill="1" applyAlignment="1">
      <alignment horizontal="right" vertical="justify"/>
    </xf>
    <xf numFmtId="4" fontId="37" fillId="0" borderId="0" xfId="0" applyNumberFormat="1" applyFont="1" applyFill="1"/>
    <xf numFmtId="0" fontId="38" fillId="0" borderId="0" xfId="0" applyFont="1" applyFill="1"/>
    <xf numFmtId="0" fontId="40" fillId="0" borderId="0" xfId="0" applyFont="1" applyFill="1" applyAlignment="1">
      <alignment vertical="top" wrapText="1"/>
    </xf>
    <xf numFmtId="0" fontId="38" fillId="0" borderId="0" xfId="0" applyFont="1" applyFill="1" applyAlignment="1">
      <alignment horizontal="right" vertical="justify"/>
    </xf>
    <xf numFmtId="0" fontId="38" fillId="0" borderId="0" xfId="0" applyFont="1" applyFill="1" applyAlignment="1">
      <alignment horizontal="center" vertical="top"/>
    </xf>
    <xf numFmtId="4" fontId="40" fillId="0" borderId="0" xfId="0" applyNumberFormat="1" applyFont="1" applyFill="1"/>
    <xf numFmtId="0" fontId="39" fillId="0" borderId="0" xfId="0" applyFont="1" applyFill="1"/>
    <xf numFmtId="0" fontId="39" fillId="0" borderId="0" xfId="0" applyFont="1" applyFill="1" applyAlignment="1">
      <alignment vertical="top"/>
    </xf>
    <xf numFmtId="0" fontId="41" fillId="0" borderId="1" xfId="0" applyFont="1" applyFill="1" applyBorder="1" applyAlignment="1">
      <alignment horizontal="right" vertical="justify"/>
    </xf>
    <xf numFmtId="0" fontId="39" fillId="0" borderId="27" xfId="0" applyFont="1" applyFill="1" applyBorder="1" applyAlignment="1">
      <alignment horizontal="center" vertical="top"/>
    </xf>
    <xf numFmtId="4" fontId="41" fillId="0" borderId="1" xfId="0" applyNumberFormat="1" applyFont="1" applyFill="1" applyBorder="1"/>
    <xf numFmtId="0" fontId="31" fillId="0" borderId="1" xfId="0" applyFont="1" applyFill="1" applyBorder="1" applyAlignment="1">
      <alignment horizontal="right" vertical="justify"/>
    </xf>
    <xf numFmtId="0" fontId="31" fillId="0" borderId="26" xfId="0" applyFont="1" applyFill="1" applyBorder="1" applyAlignment="1">
      <alignment horizontal="center" vertical="top"/>
    </xf>
    <xf numFmtId="4" fontId="33" fillId="0" borderId="1" xfId="0" applyNumberFormat="1" applyFont="1" applyFill="1" applyBorder="1" applyAlignment="1">
      <alignment horizontal="right" vertical="justify"/>
    </xf>
    <xf numFmtId="4" fontId="33" fillId="0" borderId="1" xfId="0" applyNumberFormat="1" applyFont="1" applyFill="1" applyBorder="1"/>
    <xf numFmtId="0" fontId="31" fillId="0" borderId="29" xfId="0" applyFont="1" applyFill="1" applyBorder="1" applyAlignment="1">
      <alignment horizontal="center" vertical="top"/>
    </xf>
    <xf numFmtId="4" fontId="34" fillId="0" borderId="1" xfId="0" applyNumberFormat="1" applyFont="1" applyFill="1" applyBorder="1" applyAlignment="1">
      <alignment horizontal="right" vertical="center"/>
    </xf>
    <xf numFmtId="0" fontId="31" fillId="0" borderId="28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vertical="top"/>
    </xf>
    <xf numFmtId="0" fontId="31" fillId="0" borderId="0" xfId="0" applyFont="1" applyFill="1" applyBorder="1" applyAlignment="1">
      <alignment horizontal="right" vertical="justify"/>
    </xf>
    <xf numFmtId="4" fontId="33" fillId="0" borderId="31" xfId="0" applyNumberFormat="1" applyFont="1" applyFill="1" applyBorder="1" applyAlignment="1">
      <alignment horizontal="right" vertical="justify"/>
    </xf>
    <xf numFmtId="0" fontId="31" fillId="0" borderId="0" xfId="0" applyFont="1" applyFill="1" applyBorder="1" applyAlignment="1">
      <alignment horizontal="center" vertical="top"/>
    </xf>
    <xf numFmtId="4" fontId="34" fillId="0" borderId="1" xfId="0" applyNumberFormat="1" applyFont="1" applyFill="1" applyBorder="1"/>
    <xf numFmtId="4" fontId="34" fillId="0" borderId="5" xfId="0" applyNumberFormat="1" applyFont="1" applyFill="1" applyBorder="1"/>
    <xf numFmtId="0" fontId="26" fillId="0" borderId="0" xfId="0" applyFont="1" applyFill="1" applyAlignment="1">
      <alignment vertical="top"/>
    </xf>
    <xf numFmtId="0" fontId="26" fillId="0" borderId="0" xfId="0" applyFont="1" applyFill="1" applyBorder="1" applyAlignment="1">
      <alignment horizontal="right" vertical="justify"/>
    </xf>
    <xf numFmtId="0" fontId="26" fillId="0" borderId="0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right" vertical="justify"/>
    </xf>
    <xf numFmtId="0" fontId="26" fillId="0" borderId="28" xfId="0" applyFont="1" applyFill="1" applyBorder="1" applyAlignment="1">
      <alignment horizontal="center" vertical="top"/>
    </xf>
    <xf numFmtId="4" fontId="33" fillId="0" borderId="32" xfId="0" applyNumberFormat="1" applyFont="1" applyFill="1" applyBorder="1" applyAlignment="1">
      <alignment horizontal="right" vertical="justify"/>
    </xf>
    <xf numFmtId="4" fontId="34" fillId="0" borderId="33" xfId="0" applyNumberFormat="1" applyFont="1" applyFill="1" applyBorder="1"/>
    <xf numFmtId="0" fontId="26" fillId="0" borderId="0" xfId="0" applyFont="1" applyFill="1" applyAlignment="1">
      <alignment horizontal="right" vertical="justify"/>
    </xf>
    <xf numFmtId="0" fontId="34" fillId="0" borderId="0" xfId="0" applyFont="1" applyFill="1" applyAlignment="1">
      <alignment horizontal="right"/>
    </xf>
    <xf numFmtId="0" fontId="34" fillId="0" borderId="0" xfId="0" applyFont="1" applyFill="1" applyBorder="1" applyAlignment="1">
      <alignment horizontal="center" vertical="top"/>
    </xf>
    <xf numFmtId="0" fontId="34" fillId="0" borderId="0" xfId="0" applyFont="1" applyFill="1" applyAlignment="1">
      <alignment horizontal="right" vertical="justify"/>
    </xf>
    <xf numFmtId="0" fontId="45" fillId="0" borderId="0" xfId="0" applyFont="1" applyFill="1" applyAlignment="1">
      <alignment horizontal="right" vertical="justify"/>
    </xf>
    <xf numFmtId="0" fontId="34" fillId="0" borderId="0" xfId="0" applyFont="1" applyFill="1" applyAlignment="1">
      <alignment vertical="justify"/>
    </xf>
    <xf numFmtId="4" fontId="34" fillId="0" borderId="31" xfId="0" applyNumberFormat="1" applyFont="1" applyFill="1" applyBorder="1"/>
    <xf numFmtId="0" fontId="25" fillId="0" borderId="0" xfId="0" applyFont="1" applyFill="1" applyAlignment="1">
      <alignment vertical="justify"/>
    </xf>
    <xf numFmtId="0" fontId="28" fillId="0" borderId="0" xfId="0" applyFont="1" applyFill="1" applyAlignment="1">
      <alignment horizontal="left"/>
    </xf>
    <xf numFmtId="0" fontId="28" fillId="0" borderId="0" xfId="0" applyFont="1" applyAlignment="1"/>
    <xf numFmtId="0" fontId="31" fillId="0" borderId="0" xfId="0" applyFont="1" applyFill="1" applyAlignment="1"/>
    <xf numFmtId="0" fontId="28" fillId="0" borderId="0" xfId="0" applyFont="1" applyAlignment="1">
      <alignment horizontal="center"/>
    </xf>
    <xf numFmtId="0" fontId="28" fillId="0" borderId="0" xfId="0" applyFont="1" applyFill="1" applyAlignment="1"/>
    <xf numFmtId="4" fontId="28" fillId="0" borderId="0" xfId="0" applyNumberFormat="1" applyFont="1" applyFill="1" applyAlignment="1"/>
    <xf numFmtId="0" fontId="27" fillId="0" borderId="0" xfId="0" applyFont="1" applyFill="1" applyAlignment="1">
      <alignment horizontal="center" vertical="justify"/>
    </xf>
    <xf numFmtId="2" fontId="36" fillId="0" borderId="16" xfId="0" applyNumberFormat="1" applyFont="1" applyFill="1" applyBorder="1" applyAlignment="1">
      <alignment horizontal="right" vertical="top" wrapText="1"/>
    </xf>
    <xf numFmtId="0" fontId="36" fillId="0" borderId="15" xfId="0" quotePrefix="1" applyFont="1" applyFill="1" applyBorder="1" applyAlignment="1">
      <alignment horizontal="center" vertical="top" wrapText="1"/>
    </xf>
    <xf numFmtId="0" fontId="36" fillId="0" borderId="23" xfId="0" quotePrefix="1" applyFont="1" applyFill="1" applyBorder="1" applyAlignment="1">
      <alignment horizontal="center" vertical="top" wrapText="1"/>
    </xf>
    <xf numFmtId="0" fontId="36" fillId="0" borderId="13" xfId="0" quotePrefix="1" applyFont="1" applyFill="1" applyBorder="1" applyAlignment="1">
      <alignment horizontal="center" vertical="top" wrapText="1"/>
    </xf>
    <xf numFmtId="49" fontId="28" fillId="0" borderId="15" xfId="0" quotePrefix="1" applyNumberFormat="1" applyFont="1" applyFill="1" applyBorder="1" applyAlignment="1">
      <alignment horizontal="center" vertical="top" wrapText="1"/>
    </xf>
    <xf numFmtId="0" fontId="28" fillId="0" borderId="15" xfId="0" quotePrefix="1" applyFont="1" applyFill="1" applyBorder="1" applyAlignment="1">
      <alignment horizontal="center" vertical="top" wrapText="1"/>
    </xf>
    <xf numFmtId="0" fontId="28" fillId="0" borderId="21" xfId="0" applyFont="1" applyFill="1" applyBorder="1" applyAlignment="1">
      <alignment horizontal="center" vertical="top" wrapText="1"/>
    </xf>
    <xf numFmtId="49" fontId="28" fillId="0" borderId="13" xfId="0" quotePrefix="1" applyNumberFormat="1" applyFont="1" applyFill="1" applyBorder="1" applyAlignment="1">
      <alignment horizontal="center" vertical="top" wrapText="1"/>
    </xf>
    <xf numFmtId="0" fontId="44" fillId="0" borderId="0" xfId="0" applyFont="1" applyFill="1"/>
    <xf numFmtId="0" fontId="36" fillId="0" borderId="15" xfId="0" applyFont="1" applyFill="1" applyBorder="1" applyAlignment="1">
      <alignment horizontal="center" vertical="justify" wrapText="1"/>
    </xf>
    <xf numFmtId="0" fontId="35" fillId="0" borderId="23" xfId="0" applyFont="1" applyFill="1" applyBorder="1" applyAlignment="1">
      <alignment horizontal="center" vertical="top" wrapText="1"/>
    </xf>
    <xf numFmtId="0" fontId="36" fillId="0" borderId="12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0" fontId="28" fillId="0" borderId="23" xfId="0" applyFont="1" applyFill="1" applyBorder="1" applyAlignment="1">
      <alignment horizontal="center" vertical="justify" wrapText="1"/>
    </xf>
    <xf numFmtId="4" fontId="28" fillId="0" borderId="15" xfId="0" applyNumberFormat="1" applyFont="1" applyFill="1" applyBorder="1" applyAlignment="1">
      <alignment horizontal="center" vertical="top" wrapText="1"/>
    </xf>
    <xf numFmtId="0" fontId="27" fillId="0" borderId="0" xfId="0" applyFont="1" applyFill="1" applyAlignment="1">
      <alignment vertical="justify"/>
    </xf>
    <xf numFmtId="0" fontId="44" fillId="0" borderId="0" xfId="0" applyFont="1" applyFill="1" applyAlignment="1">
      <alignment horizontal="right"/>
    </xf>
    <xf numFmtId="0" fontId="27" fillId="0" borderId="0" xfId="0" applyFont="1" applyFill="1" applyAlignment="1">
      <alignment horizontal="center"/>
    </xf>
    <xf numFmtId="49" fontId="28" fillId="0" borderId="23" xfId="0" applyNumberFormat="1" applyFont="1" applyFill="1" applyBorder="1" applyAlignment="1">
      <alignment horizontal="center" vertical="top" wrapText="1"/>
    </xf>
    <xf numFmtId="0" fontId="28" fillId="0" borderId="23" xfId="0" applyFont="1" applyFill="1" applyBorder="1" applyAlignment="1">
      <alignment vertical="top" wrapText="1"/>
    </xf>
    <xf numFmtId="4" fontId="28" fillId="0" borderId="20" xfId="0" applyNumberFormat="1" applyFont="1" applyFill="1" applyBorder="1" applyAlignment="1">
      <alignment horizontal="right" vertical="top" wrapText="1"/>
    </xf>
    <xf numFmtId="4" fontId="27" fillId="0" borderId="5" xfId="0" applyNumberFormat="1" applyFont="1" applyFill="1" applyBorder="1" applyAlignment="1">
      <alignment vertical="top"/>
    </xf>
    <xf numFmtId="4" fontId="27" fillId="0" borderId="1" xfId="0" applyNumberFormat="1" applyFont="1" applyFill="1" applyBorder="1" applyAlignment="1">
      <alignment vertical="top"/>
    </xf>
    <xf numFmtId="49" fontId="36" fillId="0" borderId="13" xfId="0" applyNumberFormat="1" applyFont="1" applyFill="1" applyBorder="1" applyAlignment="1">
      <alignment horizontal="center" vertical="top" wrapText="1"/>
    </xf>
    <xf numFmtId="49" fontId="36" fillId="0" borderId="23" xfId="0" applyNumberFormat="1" applyFont="1" applyFill="1" applyBorder="1" applyAlignment="1">
      <alignment horizontal="center" vertical="top" wrapText="1"/>
    </xf>
    <xf numFmtId="49" fontId="36" fillId="0" borderId="12" xfId="0" applyNumberFormat="1" applyFont="1" applyFill="1" applyBorder="1" applyAlignment="1">
      <alignment horizontal="center" vertical="top" wrapText="1"/>
    </xf>
    <xf numFmtId="49" fontId="28" fillId="0" borderId="7" xfId="0" applyNumberFormat="1" applyFont="1" applyFill="1" applyBorder="1" applyAlignment="1">
      <alignment horizontal="center" vertical="top"/>
    </xf>
    <xf numFmtId="49" fontId="28" fillId="0" borderId="15" xfId="0" applyNumberFormat="1" applyFont="1" applyBorder="1" applyAlignment="1">
      <alignment horizontal="center" vertical="top"/>
    </xf>
    <xf numFmtId="49" fontId="28" fillId="0" borderId="21" xfId="0" applyNumberFormat="1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vertical="top" wrapText="1"/>
    </xf>
    <xf numFmtId="0" fontId="9" fillId="0" borderId="0" xfId="0" applyFont="1" applyFill="1" applyAlignment="1">
      <alignment horizontal="right" vertical="justify"/>
    </xf>
    <xf numFmtId="0" fontId="9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right" vertical="justify"/>
    </xf>
    <xf numFmtId="0" fontId="46" fillId="0" borderId="0" xfId="0" applyFont="1" applyFill="1" applyAlignment="1">
      <alignment horizontal="right" vertical="justify"/>
    </xf>
    <xf numFmtId="0" fontId="46" fillId="0" borderId="0" xfId="0" applyFont="1" applyFill="1" applyAlignment="1">
      <alignment horizontal="center" vertical="top"/>
    </xf>
    <xf numFmtId="0" fontId="48" fillId="0" borderId="1" xfId="0" applyFont="1" applyFill="1" applyBorder="1" applyAlignment="1">
      <alignment horizontal="right" vertical="justify"/>
    </xf>
    <xf numFmtId="0" fontId="47" fillId="0" borderId="27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right" vertical="justify"/>
    </xf>
    <xf numFmtId="0" fontId="8" fillId="0" borderId="26" xfId="0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right" vertical="justify"/>
    </xf>
    <xf numFmtId="0" fontId="8" fillId="0" borderId="29" xfId="0" applyFont="1" applyFill="1" applyBorder="1" applyAlignment="1">
      <alignment horizontal="center" vertical="top"/>
    </xf>
    <xf numFmtId="4" fontId="49" fillId="0" borderId="1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justify"/>
    </xf>
    <xf numFmtId="4" fontId="7" fillId="0" borderId="31" xfId="0" applyNumberFormat="1" applyFont="1" applyFill="1" applyBorder="1" applyAlignment="1">
      <alignment horizontal="right" vertical="justify"/>
    </xf>
    <xf numFmtId="0" fontId="8" fillId="0" borderId="0" xfId="0" applyFont="1" applyFill="1" applyBorder="1" applyAlignment="1">
      <alignment horizontal="center" vertical="top"/>
    </xf>
    <xf numFmtId="4" fontId="50" fillId="0" borderId="1" xfId="0" applyNumberFormat="1" applyFont="1" applyFill="1" applyBorder="1"/>
    <xf numFmtId="4" fontId="50" fillId="0" borderId="5" xfId="0" applyNumberFormat="1" applyFont="1" applyFill="1" applyBorder="1"/>
    <xf numFmtId="0" fontId="5" fillId="0" borderId="0" xfId="0" applyFont="1" applyFill="1" applyAlignment="1">
      <alignment vertical="justify"/>
    </xf>
    <xf numFmtId="0" fontId="5" fillId="0" borderId="0" xfId="0" applyFont="1" applyFill="1" applyBorder="1" applyAlignment="1">
      <alignment horizontal="right" vertical="justify"/>
    </xf>
    <xf numFmtId="0" fontId="5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right" vertical="justify"/>
    </xf>
    <xf numFmtId="0" fontId="5" fillId="0" borderId="28" xfId="0" applyFont="1" applyFill="1" applyBorder="1" applyAlignment="1">
      <alignment horizontal="center" vertical="top"/>
    </xf>
    <xf numFmtId="4" fontId="7" fillId="0" borderId="32" xfId="0" applyNumberFormat="1" applyFont="1" applyFill="1" applyBorder="1" applyAlignment="1">
      <alignment horizontal="right" vertical="justify"/>
    </xf>
    <xf numFmtId="4" fontId="50" fillId="0" borderId="33" xfId="0" applyNumberFormat="1" applyFont="1" applyFill="1" applyBorder="1"/>
    <xf numFmtId="0" fontId="5" fillId="0" borderId="0" xfId="0" applyFont="1" applyFill="1" applyAlignment="1">
      <alignment horizontal="right" vertical="justify"/>
    </xf>
    <xf numFmtId="0" fontId="50" fillId="0" borderId="0" xfId="0" applyFont="1" applyFill="1" applyAlignment="1">
      <alignment horizontal="right"/>
    </xf>
    <xf numFmtId="0" fontId="50" fillId="0" borderId="0" xfId="0" applyFont="1" applyFill="1" applyBorder="1" applyAlignment="1">
      <alignment horizontal="center" vertical="top"/>
    </xf>
    <xf numFmtId="0" fontId="50" fillId="0" borderId="0" xfId="0" applyFont="1" applyFill="1" applyAlignment="1">
      <alignment horizontal="right" vertical="justify"/>
    </xf>
    <xf numFmtId="0" fontId="51" fillId="0" borderId="0" xfId="0" applyFont="1" applyFill="1" applyAlignment="1">
      <alignment horizontal="right" vertical="justify"/>
    </xf>
    <xf numFmtId="0" fontId="50" fillId="0" borderId="0" xfId="0" applyFont="1" applyFill="1" applyAlignment="1">
      <alignment vertical="justify"/>
    </xf>
    <xf numFmtId="4" fontId="50" fillId="0" borderId="31" xfId="0" applyNumberFormat="1" applyFont="1" applyFill="1" applyBorder="1"/>
    <xf numFmtId="4" fontId="52" fillId="0" borderId="0" xfId="0" applyNumberFormat="1" applyFont="1" applyFill="1" applyAlignment="1">
      <alignment horizontal="right" vertical="justify"/>
    </xf>
    <xf numFmtId="4" fontId="52" fillId="0" borderId="0" xfId="0" applyNumberFormat="1" applyFont="1" applyFill="1"/>
    <xf numFmtId="0" fontId="53" fillId="0" borderId="0" xfId="0" applyFont="1" applyFill="1" applyAlignment="1">
      <alignment horizontal="right" vertical="justify"/>
    </xf>
    <xf numFmtId="4" fontId="54" fillId="0" borderId="0" xfId="0" applyNumberFormat="1" applyFont="1" applyFill="1"/>
    <xf numFmtId="4" fontId="53" fillId="0" borderId="0" xfId="0" applyNumberFormat="1" applyFont="1" applyFill="1"/>
    <xf numFmtId="4" fontId="55" fillId="0" borderId="0" xfId="0" applyNumberFormat="1" applyFont="1" applyFill="1"/>
    <xf numFmtId="0" fontId="53" fillId="0" borderId="0" xfId="0" applyFont="1" applyFill="1"/>
    <xf numFmtId="4" fontId="56" fillId="0" borderId="1" xfId="0" applyNumberFormat="1" applyFont="1" applyFill="1" applyBorder="1"/>
    <xf numFmtId="4" fontId="28" fillId="0" borderId="16" xfId="0" applyNumberFormat="1" applyFont="1" applyFill="1" applyBorder="1" applyAlignment="1">
      <alignment vertical="top" wrapText="1"/>
    </xf>
    <xf numFmtId="4" fontId="28" fillId="0" borderId="1" xfId="0" applyNumberFormat="1" applyFont="1" applyFill="1" applyBorder="1" applyAlignment="1">
      <alignment vertical="top"/>
    </xf>
    <xf numFmtId="4" fontId="27" fillId="0" borderId="1" xfId="0" applyNumberFormat="1" applyFont="1" applyFill="1" applyBorder="1" applyAlignment="1">
      <alignment horizontal="right" vertical="top" wrapText="1"/>
    </xf>
    <xf numFmtId="0" fontId="28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vertical="top"/>
    </xf>
    <xf numFmtId="0" fontId="29" fillId="0" borderId="0" xfId="0" applyFont="1"/>
    <xf numFmtId="0" fontId="29" fillId="0" borderId="0" xfId="0" applyFont="1" applyAlignment="1">
      <alignment horizontal="center" vertical="top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justify"/>
    </xf>
    <xf numFmtId="0" fontId="28" fillId="0" borderId="13" xfId="0" applyFont="1" applyFill="1" applyBorder="1" applyAlignment="1">
      <alignment vertical="top" wrapText="1"/>
    </xf>
    <xf numFmtId="0" fontId="36" fillId="0" borderId="23" xfId="0" applyFont="1" applyFill="1" applyBorder="1" applyAlignment="1">
      <alignment vertical="top" wrapText="1"/>
    </xf>
    <xf numFmtId="0" fontId="36" fillId="0" borderId="12" xfId="0" applyFont="1" applyFill="1" applyBorder="1" applyAlignment="1">
      <alignment vertical="top" wrapText="1"/>
    </xf>
    <xf numFmtId="0" fontId="28" fillId="0" borderId="21" xfId="0" applyFont="1" applyFill="1" applyBorder="1" applyAlignment="1">
      <alignment vertical="top" wrapText="1"/>
    </xf>
    <xf numFmtId="0" fontId="28" fillId="0" borderId="2" xfId="0" applyFont="1" applyFill="1" applyBorder="1" applyAlignment="1">
      <alignment vertical="top" wrapText="1"/>
    </xf>
    <xf numFmtId="0" fontId="27" fillId="0" borderId="0" xfId="0" applyFont="1" applyFill="1" applyAlignment="1">
      <alignment vertical="top"/>
    </xf>
    <xf numFmtId="0" fontId="37" fillId="0" borderId="0" xfId="0" applyFont="1" applyFill="1" applyBorder="1" applyAlignment="1">
      <alignment vertical="top"/>
    </xf>
    <xf numFmtId="4" fontId="35" fillId="0" borderId="5" xfId="0" applyNumberFormat="1" applyFont="1" applyFill="1" applyBorder="1" applyAlignment="1">
      <alignment vertical="top"/>
    </xf>
    <xf numFmtId="4" fontId="36" fillId="0" borderId="1" xfId="0" applyNumberFormat="1" applyFont="1" applyFill="1" applyBorder="1" applyAlignment="1">
      <alignment vertical="top"/>
    </xf>
    <xf numFmtId="0" fontId="28" fillId="0" borderId="0" xfId="0" applyFont="1" applyFill="1" applyBorder="1" applyAlignment="1">
      <alignment horizontal="center" vertical="top" wrapText="1"/>
    </xf>
    <xf numFmtId="0" fontId="27" fillId="0" borderId="0" xfId="0" applyFont="1" applyFill="1" applyAlignment="1"/>
    <xf numFmtId="2" fontId="36" fillId="0" borderId="0" xfId="0" applyNumberFormat="1" applyFont="1" applyFill="1" applyAlignment="1">
      <alignment vertical="top" wrapText="1"/>
    </xf>
    <xf numFmtId="49" fontId="36" fillId="0" borderId="0" xfId="0" applyNumberFormat="1" applyFont="1" applyFill="1" applyAlignment="1">
      <alignment vertical="top" wrapText="1"/>
    </xf>
    <xf numFmtId="49" fontId="16" fillId="0" borderId="0" xfId="0" applyNumberFormat="1" applyFont="1" applyFill="1" applyAlignment="1">
      <alignment vertical="top" wrapText="1"/>
    </xf>
    <xf numFmtId="4" fontId="36" fillId="0" borderId="0" xfId="0" applyNumberFormat="1" applyFont="1" applyFill="1"/>
    <xf numFmtId="49" fontId="29" fillId="0" borderId="0" xfId="0" applyNumberFormat="1" applyFont="1" applyFill="1" applyAlignment="1">
      <alignment horizontal="center"/>
    </xf>
    <xf numFmtId="49" fontId="26" fillId="0" borderId="0" xfId="0" applyNumberFormat="1" applyFont="1" applyFill="1"/>
    <xf numFmtId="49" fontId="34" fillId="0" borderId="23" xfId="0" applyNumberFormat="1" applyFont="1" applyFill="1" applyBorder="1" applyAlignment="1">
      <alignment horizontal="center" vertical="center" wrapText="1"/>
    </xf>
    <xf numFmtId="49" fontId="36" fillId="0" borderId="15" xfId="0" quotePrefix="1" applyNumberFormat="1" applyFont="1" applyFill="1" applyBorder="1" applyAlignment="1">
      <alignment horizontal="center" vertical="top" wrapText="1"/>
    </xf>
    <xf numFmtId="49" fontId="36" fillId="0" borderId="23" xfId="0" quotePrefix="1" applyNumberFormat="1" applyFont="1" applyFill="1" applyBorder="1" applyAlignment="1">
      <alignment horizontal="center" vertical="top" wrapText="1"/>
    </xf>
    <xf numFmtId="49" fontId="36" fillId="0" borderId="13" xfId="0" quotePrefix="1" applyNumberFormat="1" applyFont="1" applyFill="1" applyBorder="1" applyAlignment="1">
      <alignment horizontal="center" vertical="top" wrapText="1"/>
    </xf>
    <xf numFmtId="49" fontId="36" fillId="0" borderId="7" xfId="0" quotePrefix="1" applyNumberFormat="1" applyFont="1" applyFill="1" applyBorder="1" applyAlignment="1">
      <alignment horizontal="center" vertical="top" wrapText="1"/>
    </xf>
    <xf numFmtId="49" fontId="36" fillId="0" borderId="12" xfId="0" quotePrefix="1" applyNumberFormat="1" applyFont="1" applyFill="1" applyBorder="1" applyAlignment="1">
      <alignment horizontal="center" vertical="top" wrapText="1"/>
    </xf>
    <xf numFmtId="49" fontId="35" fillId="0" borderId="13" xfId="0" quotePrefix="1" applyNumberFormat="1" applyFont="1" applyFill="1" applyBorder="1" applyAlignment="1">
      <alignment horizontal="center" vertical="top" wrapText="1"/>
    </xf>
    <xf numFmtId="49" fontId="31" fillId="0" borderId="0" xfId="0" applyNumberFormat="1" applyFont="1" applyFill="1" applyAlignment="1">
      <alignment horizontal="center"/>
    </xf>
    <xf numFmtId="49" fontId="27" fillId="0" borderId="0" xfId="0" applyNumberFormat="1" applyFont="1" applyFill="1"/>
    <xf numFmtId="49" fontId="31" fillId="0" borderId="0" xfId="0" applyNumberFormat="1" applyFont="1" applyFill="1"/>
    <xf numFmtId="49" fontId="44" fillId="0" borderId="0" xfId="0" applyNumberFormat="1" applyFont="1" applyFill="1"/>
    <xf numFmtId="49" fontId="37" fillId="0" borderId="0" xfId="0" applyNumberFormat="1" applyFont="1" applyFill="1"/>
    <xf numFmtId="49" fontId="38" fillId="0" borderId="0" xfId="0" applyNumberFormat="1" applyFont="1" applyFill="1"/>
    <xf numFmtId="49" fontId="39" fillId="0" borderId="0" xfId="0" applyNumberFormat="1" applyFont="1" applyFill="1"/>
    <xf numFmtId="49" fontId="57" fillId="0" borderId="7" xfId="0" quotePrefix="1" applyNumberFormat="1" applyFont="1" applyFill="1" applyBorder="1" applyAlignment="1">
      <alignment horizontal="center" vertical="top" wrapText="1"/>
    </xf>
    <xf numFmtId="0" fontId="57" fillId="0" borderId="7" xfId="0" quotePrefix="1" applyFont="1" applyFill="1" applyBorder="1" applyAlignment="1">
      <alignment horizontal="center" vertical="top" wrapText="1"/>
    </xf>
    <xf numFmtId="49" fontId="57" fillId="0" borderId="7" xfId="0" applyNumberFormat="1" applyFont="1" applyFill="1" applyBorder="1" applyAlignment="1">
      <alignment horizontal="center" vertical="top" wrapText="1"/>
    </xf>
    <xf numFmtId="0" fontId="57" fillId="0" borderId="7" xfId="0" applyFont="1" applyFill="1" applyBorder="1" applyAlignment="1">
      <alignment vertical="top" wrapText="1"/>
    </xf>
    <xf numFmtId="0" fontId="57" fillId="0" borderId="7" xfId="0" applyFont="1" applyFill="1" applyBorder="1" applyAlignment="1">
      <alignment horizontal="center" vertical="justify" wrapText="1"/>
    </xf>
    <xf numFmtId="0" fontId="57" fillId="0" borderId="6" xfId="0" applyFont="1" applyFill="1" applyBorder="1" applyAlignment="1">
      <alignment horizontal="center" vertical="top" wrapText="1"/>
    </xf>
    <xf numFmtId="4" fontId="57" fillId="0" borderId="6" xfId="0" applyNumberFormat="1" applyFont="1" applyFill="1" applyBorder="1" applyAlignment="1">
      <alignment horizontal="right" vertical="justify" wrapText="1"/>
    </xf>
    <xf numFmtId="4" fontId="57" fillId="0" borderId="6" xfId="0" applyNumberFormat="1" applyFont="1" applyFill="1" applyBorder="1" applyAlignment="1">
      <alignment horizontal="right" vertical="top" wrapText="1"/>
    </xf>
    <xf numFmtId="0" fontId="36" fillId="0" borderId="15" xfId="0" applyFont="1" applyFill="1" applyBorder="1" applyAlignment="1">
      <alignment horizontal="left" vertical="center" wrapText="1"/>
    </xf>
    <xf numFmtId="4" fontId="35" fillId="0" borderId="0" xfId="0" applyNumberFormat="1" applyFont="1" applyFill="1"/>
    <xf numFmtId="4" fontId="28" fillId="0" borderId="20" xfId="0" applyNumberFormat="1" applyFont="1" applyFill="1" applyBorder="1" applyAlignment="1">
      <alignment horizontal="right" vertical="justify" wrapText="1"/>
    </xf>
    <xf numFmtId="4" fontId="28" fillId="0" borderId="0" xfId="0" applyNumberFormat="1" applyFont="1" applyFill="1" applyAlignment="1">
      <alignment wrapText="1"/>
    </xf>
    <xf numFmtId="4" fontId="28" fillId="0" borderId="0" xfId="0" applyNumberFormat="1" applyFont="1" applyFill="1"/>
    <xf numFmtId="2" fontId="28" fillId="0" borderId="0" xfId="0" applyNumberFormat="1" applyFont="1" applyFill="1" applyAlignment="1">
      <alignment vertical="top" wrapText="1"/>
    </xf>
    <xf numFmtId="49" fontId="28" fillId="0" borderId="0" xfId="0" applyNumberFormat="1" applyFont="1" applyFill="1" applyAlignment="1">
      <alignment vertical="top" wrapText="1"/>
    </xf>
    <xf numFmtId="49" fontId="27" fillId="0" borderId="0" xfId="0" applyNumberFormat="1" applyFont="1" applyFill="1" applyAlignment="1">
      <alignment horizontal="center" vertical="top" wrapText="1"/>
    </xf>
    <xf numFmtId="49" fontId="28" fillId="0" borderId="0" xfId="0" applyNumberFormat="1" applyFont="1" applyFill="1" applyAlignment="1">
      <alignment wrapText="1"/>
    </xf>
    <xf numFmtId="49" fontId="35" fillId="0" borderId="0" xfId="0" applyNumberFormat="1" applyFont="1" applyFill="1" applyAlignment="1">
      <alignment vertical="top"/>
    </xf>
    <xf numFmtId="49" fontId="58" fillId="0" borderId="0" xfId="0" applyNumberFormat="1" applyFont="1" applyFill="1" applyAlignment="1">
      <alignment vertical="top"/>
    </xf>
    <xf numFmtId="49" fontId="59" fillId="0" borderId="12" xfId="0" quotePrefix="1" applyNumberFormat="1" applyFont="1" applyFill="1" applyBorder="1" applyAlignment="1">
      <alignment horizontal="center" vertical="top" wrapText="1"/>
    </xf>
    <xf numFmtId="49" fontId="59" fillId="0" borderId="12" xfId="0" applyNumberFormat="1" applyFont="1" applyFill="1" applyBorder="1" applyAlignment="1">
      <alignment horizontal="center" vertical="top" wrapText="1"/>
    </xf>
    <xf numFmtId="0" fontId="59" fillId="0" borderId="12" xfId="0" applyFont="1" applyFill="1" applyBorder="1" applyAlignment="1">
      <alignment vertical="top" wrapText="1"/>
    </xf>
    <xf numFmtId="0" fontId="59" fillId="0" borderId="12" xfId="0" applyFont="1" applyFill="1" applyBorder="1" applyAlignment="1">
      <alignment horizontal="center" vertical="justify" wrapText="1"/>
    </xf>
    <xf numFmtId="0" fontId="60" fillId="0" borderId="11" xfId="0" applyFont="1" applyFill="1" applyBorder="1" applyAlignment="1">
      <alignment horizontal="center" vertical="top" wrapText="1"/>
    </xf>
    <xf numFmtId="4" fontId="58" fillId="0" borderId="5" xfId="0" applyNumberFormat="1" applyFont="1" applyFill="1" applyBorder="1" applyAlignment="1">
      <alignment vertical="top"/>
    </xf>
    <xf numFmtId="4" fontId="60" fillId="0" borderId="1" xfId="0" applyNumberFormat="1" applyFont="1" applyFill="1" applyBorder="1" applyAlignment="1">
      <alignment vertical="top"/>
    </xf>
    <xf numFmtId="4" fontId="58" fillId="0" borderId="1" xfId="0" applyNumberFormat="1" applyFont="1" applyFill="1" applyBorder="1" applyAlignment="1">
      <alignment vertical="top"/>
    </xf>
    <xf numFmtId="0" fontId="60" fillId="0" borderId="0" xfId="0" applyFont="1" applyFill="1"/>
    <xf numFmtId="4" fontId="58" fillId="0" borderId="0" xfId="0" applyNumberFormat="1" applyFont="1" applyFill="1"/>
    <xf numFmtId="4" fontId="7" fillId="0" borderId="16" xfId="0" applyNumberFormat="1" applyFont="1" applyFill="1" applyBorder="1" applyAlignment="1">
      <alignment horizontal="right" vertical="top" wrapText="1"/>
    </xf>
    <xf numFmtId="4" fontId="7" fillId="0" borderId="20" xfId="0" applyNumberFormat="1" applyFont="1" applyFill="1" applyBorder="1" applyAlignment="1">
      <alignment horizontal="right" vertical="top" wrapText="1"/>
    </xf>
    <xf numFmtId="0" fontId="27" fillId="0" borderId="20" xfId="0" applyFont="1" applyFill="1" applyBorder="1" applyAlignment="1">
      <alignment horizontal="center" vertical="top" wrapText="1"/>
    </xf>
    <xf numFmtId="4" fontId="27" fillId="0" borderId="20" xfId="0" applyNumberFormat="1" applyFont="1" applyFill="1" applyBorder="1" applyAlignment="1">
      <alignment horizontal="right" vertical="top" wrapText="1"/>
    </xf>
    <xf numFmtId="4" fontId="59" fillId="0" borderId="11" xfId="0" applyNumberFormat="1" applyFont="1" applyFill="1" applyBorder="1" applyAlignment="1">
      <alignment horizontal="right" vertical="top" wrapText="1"/>
    </xf>
    <xf numFmtId="4" fontId="36" fillId="0" borderId="8" xfId="0" applyNumberFormat="1" applyFont="1" applyFill="1" applyBorder="1" applyAlignment="1">
      <alignment horizontal="right" vertical="top" wrapText="1"/>
    </xf>
    <xf numFmtId="4" fontId="35" fillId="0" borderId="1" xfId="0" applyNumberFormat="1" applyFont="1" applyFill="1" applyBorder="1" applyAlignment="1">
      <alignment vertical="top"/>
    </xf>
    <xf numFmtId="4" fontId="36" fillId="0" borderId="18" xfId="0" applyNumberFormat="1" applyFont="1" applyFill="1" applyBorder="1" applyAlignment="1">
      <alignment horizontal="right" vertical="top" wrapText="1"/>
    </xf>
    <xf numFmtId="49" fontId="27" fillId="0" borderId="0" xfId="0" applyNumberFormat="1" applyFont="1" applyFill="1" applyAlignment="1">
      <alignment vertical="top"/>
    </xf>
    <xf numFmtId="0" fontId="31" fillId="0" borderId="0" xfId="0" applyFont="1" applyFill="1" applyBorder="1" applyAlignment="1">
      <alignment vertical="top" wrapText="1"/>
    </xf>
    <xf numFmtId="4" fontId="41" fillId="2" borderId="31" xfId="0" applyNumberFormat="1" applyFont="1" applyFill="1" applyBorder="1" applyAlignment="1">
      <alignment horizontal="center" vertical="justify"/>
    </xf>
    <xf numFmtId="0" fontId="41" fillId="2" borderId="37" xfId="0" applyFont="1" applyFill="1" applyBorder="1" applyAlignment="1">
      <alignment horizontal="center" vertical="justify"/>
    </xf>
    <xf numFmtId="0" fontId="41" fillId="2" borderId="33" xfId="0" applyFont="1" applyFill="1" applyBorder="1" applyAlignment="1">
      <alignment horizontal="center" vertical="justify"/>
    </xf>
    <xf numFmtId="0" fontId="41" fillId="0" borderId="38" xfId="0" applyFont="1" applyFill="1" applyBorder="1" applyAlignment="1">
      <alignment horizontal="center" vertical="top" wrapText="1"/>
    </xf>
    <xf numFmtId="0" fontId="41" fillId="0" borderId="39" xfId="0" applyFont="1" applyFill="1" applyBorder="1" applyAlignment="1">
      <alignment horizontal="center" vertical="top"/>
    </xf>
    <xf numFmtId="0" fontId="41" fillId="0" borderId="40" xfId="0" applyFont="1" applyFill="1" applyBorder="1" applyAlignment="1">
      <alignment horizontal="center" vertical="top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justify"/>
    </xf>
    <xf numFmtId="0" fontId="27" fillId="0" borderId="0" xfId="0" applyFont="1" applyFill="1" applyAlignment="1">
      <alignment horizontal="center" vertical="top"/>
    </xf>
    <xf numFmtId="0" fontId="32" fillId="0" borderId="41" xfId="0" applyFont="1" applyFill="1" applyBorder="1" applyAlignment="1">
      <alignment horizontal="center" vertical="top" wrapText="1"/>
    </xf>
    <xf numFmtId="0" fontId="32" fillId="0" borderId="21" xfId="0" applyFont="1" applyFill="1" applyBorder="1" applyAlignment="1">
      <alignment horizontal="center" vertical="top" wrapText="1"/>
    </xf>
    <xf numFmtId="0" fontId="33" fillId="0" borderId="41" xfId="0" applyFont="1" applyFill="1" applyBorder="1" applyAlignment="1">
      <alignment horizontal="center" vertical="top" wrapText="1"/>
    </xf>
    <xf numFmtId="0" fontId="33" fillId="0" borderId="21" xfId="0" applyFont="1" applyFill="1" applyBorder="1" applyAlignment="1">
      <alignment horizontal="center" vertical="top" wrapText="1"/>
    </xf>
    <xf numFmtId="0" fontId="33" fillId="0" borderId="36" xfId="0" applyFont="1" applyFill="1" applyBorder="1" applyAlignment="1">
      <alignment horizontal="center" vertical="top" wrapText="1"/>
    </xf>
    <xf numFmtId="0" fontId="33" fillId="0" borderId="14" xfId="0" applyFont="1" applyFill="1" applyBorder="1" applyAlignment="1">
      <alignment horizontal="center" vertical="top" wrapText="1"/>
    </xf>
    <xf numFmtId="49" fontId="32" fillId="0" borderId="41" xfId="0" applyNumberFormat="1" applyFont="1" applyFill="1" applyBorder="1" applyAlignment="1">
      <alignment horizontal="center" vertical="top" wrapText="1"/>
    </xf>
    <xf numFmtId="49" fontId="32" fillId="0" borderId="21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27" fillId="0" borderId="34" xfId="0" applyFont="1" applyFill="1" applyBorder="1" applyAlignment="1">
      <alignment horizontal="center" wrapText="1"/>
    </xf>
    <xf numFmtId="0" fontId="27" fillId="0" borderId="35" xfId="0" applyFont="1" applyFill="1" applyBorder="1" applyAlignment="1">
      <alignment horizontal="center" wrapText="1"/>
    </xf>
    <xf numFmtId="0" fontId="27" fillId="0" borderId="22" xfId="0" applyFont="1" applyFill="1" applyBorder="1" applyAlignment="1">
      <alignment horizontal="center" vertical="justify" wrapText="1"/>
    </xf>
    <xf numFmtId="0" fontId="33" fillId="0" borderId="34" xfId="0" applyFont="1" applyFill="1" applyBorder="1" applyAlignment="1">
      <alignment horizontal="center" vertical="top" wrapText="1"/>
    </xf>
    <xf numFmtId="0" fontId="33" fillId="0" borderId="22" xfId="0" applyFont="1" applyFill="1" applyBorder="1" applyAlignment="1">
      <alignment horizontal="center" vertical="top" wrapText="1"/>
    </xf>
    <xf numFmtId="4" fontId="48" fillId="2" borderId="31" xfId="0" applyNumberFormat="1" applyFont="1" applyFill="1" applyBorder="1" applyAlignment="1">
      <alignment horizontal="center" vertical="justify"/>
    </xf>
    <xf numFmtId="0" fontId="48" fillId="2" borderId="37" xfId="0" applyFont="1" applyFill="1" applyBorder="1" applyAlignment="1">
      <alignment horizontal="center" vertical="justify"/>
    </xf>
    <xf numFmtId="0" fontId="48" fillId="2" borderId="33" xfId="0" applyFont="1" applyFill="1" applyBorder="1" applyAlignment="1">
      <alignment horizontal="center" vertical="justify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BM549"/>
  <sheetViews>
    <sheetView showZeros="0" tabSelected="1" view="pageBreakPreview" topLeftCell="D1" zoomScale="67" zoomScaleNormal="60" zoomScaleSheetLayoutView="67" workbookViewId="0">
      <selection activeCell="M396" sqref="M396"/>
    </sheetView>
  </sheetViews>
  <sheetFormatPr defaultRowHeight="18.75" x14ac:dyDescent="0.25"/>
  <cols>
    <col min="1" max="1" width="5.7109375" style="151" customWidth="1"/>
    <col min="2" max="2" width="11.28515625" style="155" customWidth="1"/>
    <col min="3" max="3" width="15.42578125" style="21" hidden="1" customWidth="1"/>
    <col min="4" max="4" width="20.7109375" style="458" customWidth="1"/>
    <col min="5" max="5" width="17.28515625" style="160" customWidth="1"/>
    <col min="6" max="6" width="16.85546875" style="160" customWidth="1"/>
    <col min="7" max="7" width="68.5703125" style="339" customWidth="1"/>
    <col min="8" max="8" width="48" style="162" customWidth="1"/>
    <col min="9" max="9" width="25" style="163" customWidth="1"/>
    <col min="10" max="10" width="21.85546875" style="162" customWidth="1"/>
    <col min="11" max="11" width="21.5703125" style="160" customWidth="1"/>
    <col min="12" max="12" width="20.42578125" style="160" customWidth="1"/>
    <col min="13" max="13" width="20.5703125" style="160" customWidth="1"/>
    <col min="14" max="14" width="17.85546875" style="4" hidden="1" customWidth="1"/>
    <col min="15" max="15" width="15.140625" style="1" hidden="1" customWidth="1"/>
    <col min="16" max="16" width="15.28515625" style="1" hidden="1" customWidth="1"/>
    <col min="17" max="17" width="14" style="1" hidden="1" customWidth="1"/>
    <col min="18" max="18" width="14.140625" style="1" hidden="1" customWidth="1"/>
    <col min="19" max="19" width="10.5703125" style="1" hidden="1" customWidth="1"/>
    <col min="20" max="20" width="14" style="1" hidden="1" customWidth="1"/>
    <col min="21" max="21" width="11.140625" style="1" hidden="1" customWidth="1"/>
    <col min="22" max="22" width="12.5703125" style="1" hidden="1" customWidth="1"/>
    <col min="23" max="23" width="10.5703125" style="1" hidden="1" customWidth="1"/>
    <col min="24" max="24" width="12" style="1" hidden="1" customWidth="1"/>
    <col min="25" max="25" width="13.85546875" style="3" hidden="1" customWidth="1"/>
    <col min="26" max="26" width="13.140625" style="1" hidden="1" customWidth="1"/>
    <col min="27" max="27" width="14.5703125" style="1" hidden="1" customWidth="1"/>
    <col min="28" max="28" width="12.28515625" style="1" hidden="1" customWidth="1"/>
    <col min="29" max="29" width="12.85546875" style="1" hidden="1" customWidth="1"/>
    <col min="30" max="30" width="13" style="1" hidden="1" customWidth="1"/>
    <col min="31" max="35" width="0" style="1" hidden="1" customWidth="1"/>
    <col min="36" max="36" width="12.7109375" style="1" hidden="1" customWidth="1"/>
    <col min="37" max="37" width="18.42578125" style="3" hidden="1" customWidth="1"/>
    <col min="38" max="58" width="0" style="1" hidden="1" customWidth="1"/>
    <col min="59" max="59" width="14.85546875" style="160" bestFit="1" customWidth="1"/>
    <col min="60" max="60" width="13" style="160" bestFit="1" customWidth="1"/>
    <col min="61" max="16384" width="9.140625" style="160"/>
  </cols>
  <sheetData>
    <row r="1" spans="1:59" x14ac:dyDescent="0.3">
      <c r="D1" s="518" t="s">
        <v>257</v>
      </c>
      <c r="E1" s="518"/>
      <c r="F1" s="518"/>
      <c r="G1" s="519"/>
      <c r="H1" s="519"/>
      <c r="I1" s="520"/>
      <c r="J1" s="519"/>
      <c r="K1" s="518"/>
      <c r="L1" s="518"/>
      <c r="M1" s="518"/>
    </row>
    <row r="2" spans="1:59" x14ac:dyDescent="0.3">
      <c r="D2" s="156" t="s">
        <v>258</v>
      </c>
      <c r="E2" s="440"/>
      <c r="F2" s="378"/>
      <c r="G2" s="441"/>
      <c r="H2" s="360"/>
      <c r="I2" s="159"/>
      <c r="J2" s="158"/>
      <c r="K2" s="157"/>
      <c r="L2" s="157"/>
      <c r="M2" s="157"/>
    </row>
    <row r="3" spans="1:59" x14ac:dyDescent="0.3">
      <c r="D3" s="457" t="s">
        <v>241</v>
      </c>
      <c r="E3" s="440"/>
      <c r="F3" s="378"/>
      <c r="G3" s="441"/>
      <c r="H3" s="360"/>
      <c r="I3" s="159"/>
      <c r="J3" s="158"/>
      <c r="K3" s="157"/>
      <c r="L3" s="157"/>
      <c r="M3" s="157"/>
    </row>
    <row r="4" spans="1:59" ht="19.5" thickBot="1" x14ac:dyDescent="0.3">
      <c r="G4" s="161"/>
      <c r="M4" s="164" t="s">
        <v>5</v>
      </c>
    </row>
    <row r="5" spans="1:59" s="193" customFormat="1" ht="19.5" thickBot="1" x14ac:dyDescent="0.3">
      <c r="A5" s="152"/>
      <c r="B5" s="488"/>
      <c r="C5" s="22"/>
      <c r="D5" s="527" t="s">
        <v>162</v>
      </c>
      <c r="E5" s="521" t="s">
        <v>239</v>
      </c>
      <c r="F5" s="521" t="s">
        <v>240</v>
      </c>
      <c r="G5" s="523" t="s">
        <v>122</v>
      </c>
      <c r="H5" s="523" t="s">
        <v>114</v>
      </c>
      <c r="I5" s="525" t="s">
        <v>115</v>
      </c>
      <c r="J5" s="525" t="s">
        <v>116</v>
      </c>
      <c r="K5" s="525" t="s">
        <v>0</v>
      </c>
      <c r="L5" s="534" t="s">
        <v>1</v>
      </c>
      <c r="M5" s="535"/>
      <c r="N5" s="529" t="s">
        <v>7</v>
      </c>
      <c r="O5" s="530"/>
      <c r="P5" s="530"/>
      <c r="Q5" s="530"/>
      <c r="R5" s="530"/>
      <c r="S5" s="530"/>
      <c r="T5" s="530"/>
      <c r="U5" s="530"/>
      <c r="V5" s="530"/>
      <c r="W5" s="530"/>
      <c r="X5" s="530"/>
      <c r="Y5" s="530"/>
      <c r="Z5" s="530"/>
      <c r="AA5" s="530"/>
      <c r="AB5" s="530"/>
      <c r="AC5" s="530"/>
      <c r="AD5" s="530"/>
      <c r="AE5" s="530"/>
      <c r="AF5" s="530"/>
      <c r="AG5" s="530"/>
      <c r="AH5" s="530"/>
      <c r="AI5" s="530"/>
      <c r="AJ5" s="530"/>
      <c r="AK5" s="530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9" s="193" customFormat="1" ht="107.25" customHeight="1" thickBot="1" x14ac:dyDescent="0.3">
      <c r="A6" s="152"/>
      <c r="B6" s="488"/>
      <c r="C6" s="22"/>
      <c r="D6" s="528"/>
      <c r="E6" s="522"/>
      <c r="F6" s="522"/>
      <c r="G6" s="524"/>
      <c r="H6" s="524"/>
      <c r="I6" s="526"/>
      <c r="J6" s="526"/>
      <c r="K6" s="526"/>
      <c r="L6" s="165" t="s">
        <v>117</v>
      </c>
      <c r="M6" s="165" t="s">
        <v>118</v>
      </c>
      <c r="N6" s="70" t="s">
        <v>0</v>
      </c>
      <c r="O6" s="5">
        <v>1343</v>
      </c>
      <c r="P6" s="5">
        <v>1131</v>
      </c>
      <c r="Q6" s="5">
        <v>1133</v>
      </c>
      <c r="R6" s="5">
        <v>1310</v>
      </c>
      <c r="S6" s="5">
        <v>1140</v>
      </c>
      <c r="T6" s="5">
        <v>1320</v>
      </c>
      <c r="U6" s="5">
        <v>1132</v>
      </c>
      <c r="V6" s="5">
        <v>1134</v>
      </c>
      <c r="W6" s="5">
        <v>1165</v>
      </c>
      <c r="X6" s="6" t="s">
        <v>8</v>
      </c>
      <c r="Y6" s="71" t="s">
        <v>1</v>
      </c>
      <c r="Z6" s="5">
        <v>2123</v>
      </c>
      <c r="AA6" s="5">
        <v>1310</v>
      </c>
      <c r="AB6" s="5">
        <v>2131</v>
      </c>
      <c r="AC6" s="5">
        <v>2133</v>
      </c>
      <c r="AD6" s="5">
        <v>2110</v>
      </c>
      <c r="AE6" s="7"/>
      <c r="AF6" s="7"/>
      <c r="AG6" s="7"/>
      <c r="AH6" s="7"/>
      <c r="AI6" s="7"/>
      <c r="AJ6" s="6" t="s">
        <v>8</v>
      </c>
      <c r="AK6" s="7" t="s">
        <v>10</v>
      </c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9" s="194" customFormat="1" ht="23.25" hidden="1" customHeight="1" thickBot="1" x14ac:dyDescent="0.3">
      <c r="A7" s="153"/>
      <c r="B7" s="153"/>
      <c r="C7" s="22"/>
      <c r="D7" s="459">
        <v>1</v>
      </c>
      <c r="E7" s="166">
        <v>2</v>
      </c>
      <c r="F7" s="166">
        <v>3</v>
      </c>
      <c r="G7" s="167">
        <v>4</v>
      </c>
      <c r="H7" s="167">
        <v>5</v>
      </c>
      <c r="I7" s="168">
        <v>6</v>
      </c>
      <c r="J7" s="168">
        <v>7</v>
      </c>
      <c r="K7" s="168">
        <v>8</v>
      </c>
      <c r="L7" s="168">
        <v>9</v>
      </c>
      <c r="M7" s="168">
        <v>10</v>
      </c>
      <c r="N7" s="70"/>
      <c r="O7" s="5"/>
      <c r="P7" s="5"/>
      <c r="Q7" s="5"/>
      <c r="R7" s="5"/>
      <c r="S7" s="5"/>
      <c r="T7" s="5"/>
      <c r="U7" s="5"/>
      <c r="V7" s="5"/>
      <c r="W7" s="5"/>
      <c r="X7" s="6"/>
      <c r="Y7" s="71"/>
      <c r="Z7" s="5"/>
      <c r="AA7" s="5"/>
      <c r="AB7" s="5"/>
      <c r="AC7" s="5"/>
      <c r="AD7" s="5"/>
      <c r="AE7" s="7"/>
      <c r="AF7" s="7"/>
      <c r="AG7" s="7"/>
      <c r="AH7" s="7"/>
      <c r="AI7" s="7"/>
      <c r="AJ7" s="6"/>
      <c r="AK7" s="7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9" s="195" customFormat="1" ht="57" customHeight="1" x14ac:dyDescent="0.3">
      <c r="A8" s="154" t="str">
        <f>IF(J8=0,"","п")</f>
        <v>п</v>
      </c>
      <c r="B8" s="155"/>
      <c r="C8" s="28"/>
      <c r="D8" s="170"/>
      <c r="E8" s="169"/>
      <c r="F8" s="170"/>
      <c r="G8" s="171"/>
      <c r="H8" s="172" t="s">
        <v>271</v>
      </c>
      <c r="I8" s="173" t="s">
        <v>259</v>
      </c>
      <c r="J8" s="174">
        <f>+K8+L8</f>
        <v>7718705</v>
      </c>
      <c r="K8" s="175">
        <f>+K9+K14</f>
        <v>7718705</v>
      </c>
      <c r="L8" s="176">
        <f>+L9+L14</f>
        <v>0</v>
      </c>
      <c r="M8" s="176">
        <f>+M9+M14</f>
        <v>0</v>
      </c>
      <c r="N8" s="30">
        <f>SUM(O8:W8)</f>
        <v>0</v>
      </c>
      <c r="O8" s="31">
        <f t="shared" ref="O8:X8" si="0">+O9+O14</f>
        <v>0</v>
      </c>
      <c r="P8" s="31">
        <f t="shared" si="0"/>
        <v>0</v>
      </c>
      <c r="Q8" s="31">
        <f t="shared" si="0"/>
        <v>0</v>
      </c>
      <c r="R8" s="31">
        <f t="shared" si="0"/>
        <v>0</v>
      </c>
      <c r="S8" s="31">
        <f t="shared" si="0"/>
        <v>0</v>
      </c>
      <c r="T8" s="31">
        <f t="shared" si="0"/>
        <v>0</v>
      </c>
      <c r="U8" s="31">
        <f t="shared" si="0"/>
        <v>0</v>
      </c>
      <c r="V8" s="31">
        <f t="shared" si="0"/>
        <v>0</v>
      </c>
      <c r="W8" s="31">
        <f t="shared" si="0"/>
        <v>0</v>
      </c>
      <c r="X8" s="31">
        <f t="shared" si="0"/>
        <v>0</v>
      </c>
      <c r="Y8" s="32">
        <f>SUM(Z8:AI8)</f>
        <v>0</v>
      </c>
      <c r="Z8" s="31">
        <f t="shared" ref="Z8:AJ8" si="1">+Z9+Z14</f>
        <v>0</v>
      </c>
      <c r="AA8" s="31">
        <f t="shared" si="1"/>
        <v>0</v>
      </c>
      <c r="AB8" s="31">
        <f t="shared" si="1"/>
        <v>0</v>
      </c>
      <c r="AC8" s="31">
        <f t="shared" si="1"/>
        <v>0</v>
      </c>
      <c r="AD8" s="31">
        <f t="shared" si="1"/>
        <v>0</v>
      </c>
      <c r="AE8" s="31">
        <f t="shared" si="1"/>
        <v>0</v>
      </c>
      <c r="AF8" s="31">
        <f t="shared" si="1"/>
        <v>0</v>
      </c>
      <c r="AG8" s="31">
        <f t="shared" si="1"/>
        <v>0</v>
      </c>
      <c r="AH8" s="31">
        <f t="shared" si="1"/>
        <v>0</v>
      </c>
      <c r="AI8" s="31">
        <f t="shared" si="1"/>
        <v>0</v>
      </c>
      <c r="AJ8" s="31">
        <f t="shared" si="1"/>
        <v>0</v>
      </c>
      <c r="AK8" s="32">
        <f>Y8+N8</f>
        <v>0</v>
      </c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</row>
    <row r="9" spans="1:59" s="197" customFormat="1" ht="19.5" x14ac:dyDescent="0.3">
      <c r="A9" s="154" t="str">
        <f t="shared" ref="A9:C92" si="2">IF(J9=0,"","п")</f>
        <v>п</v>
      </c>
      <c r="B9" s="155" t="s">
        <v>178</v>
      </c>
      <c r="C9" s="103"/>
      <c r="D9" s="177" t="s">
        <v>29</v>
      </c>
      <c r="E9" s="178"/>
      <c r="F9" s="178"/>
      <c r="G9" s="179" t="s">
        <v>3</v>
      </c>
      <c r="H9" s="180"/>
      <c r="I9" s="181"/>
      <c r="J9" s="182">
        <f t="shared" ref="J9:J76" si="3">+K9+L9</f>
        <v>4100530</v>
      </c>
      <c r="K9" s="183">
        <f>K10</f>
        <v>4100530</v>
      </c>
      <c r="L9" s="184">
        <f>L10</f>
        <v>0</v>
      </c>
      <c r="M9" s="184">
        <f>M10</f>
        <v>0</v>
      </c>
      <c r="N9" s="30">
        <f>SUM(O9:W9)</f>
        <v>0</v>
      </c>
      <c r="O9" s="63"/>
      <c r="P9" s="63"/>
      <c r="Q9" s="63"/>
      <c r="R9" s="63"/>
      <c r="S9" s="63"/>
      <c r="T9" s="63"/>
      <c r="U9" s="63"/>
      <c r="V9" s="63"/>
      <c r="W9" s="63"/>
      <c r="X9" s="63"/>
      <c r="Y9" s="32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32">
        <f>Y9+N9</f>
        <v>0</v>
      </c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196"/>
    </row>
    <row r="10" spans="1:59" s="197" customFormat="1" ht="19.5" x14ac:dyDescent="0.3">
      <c r="A10" s="154" t="str">
        <f t="shared" si="2"/>
        <v>п</v>
      </c>
      <c r="B10" s="155" t="s">
        <v>178</v>
      </c>
      <c r="C10" s="103"/>
      <c r="D10" s="177" t="s">
        <v>28</v>
      </c>
      <c r="E10" s="178"/>
      <c r="F10" s="178"/>
      <c r="G10" s="179" t="s">
        <v>3</v>
      </c>
      <c r="H10" s="180"/>
      <c r="I10" s="181"/>
      <c r="J10" s="182">
        <f>+K10+L10</f>
        <v>4100530</v>
      </c>
      <c r="K10" s="183">
        <f>SUM(K11)</f>
        <v>4100530</v>
      </c>
      <c r="L10" s="183">
        <f>SUM(L11)</f>
        <v>0</v>
      </c>
      <c r="M10" s="183">
        <f>SUM(M11)</f>
        <v>0</v>
      </c>
      <c r="N10" s="30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32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32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196"/>
    </row>
    <row r="11" spans="1:59" s="195" customFormat="1" ht="37.5" x14ac:dyDescent="0.3">
      <c r="A11" s="154" t="str">
        <f t="shared" si="2"/>
        <v>п</v>
      </c>
      <c r="B11" s="155" t="s">
        <v>178</v>
      </c>
      <c r="C11" s="103" t="s">
        <v>149</v>
      </c>
      <c r="D11" s="210" t="s">
        <v>186</v>
      </c>
      <c r="E11" s="185" t="s">
        <v>187</v>
      </c>
      <c r="F11" s="186" t="s">
        <v>159</v>
      </c>
      <c r="G11" s="187" t="s">
        <v>86</v>
      </c>
      <c r="H11" s="188"/>
      <c r="I11" s="189"/>
      <c r="J11" s="190">
        <f t="shared" si="3"/>
        <v>4100530</v>
      </c>
      <c r="K11" s="191">
        <f>2721406+20124+(1547000+300000-580000-470000+830000-570000-300000-100000+35000+40000)+627000</f>
        <v>4100530</v>
      </c>
      <c r="L11" s="192"/>
      <c r="M11" s="192"/>
      <c r="N11" s="30">
        <f>SUM(O11:W11)</f>
        <v>0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2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2">
        <f>Y11+N11</f>
        <v>0</v>
      </c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196"/>
    </row>
    <row r="12" spans="1:59" s="87" customFormat="1" ht="46.5" customHeight="1" x14ac:dyDescent="0.3">
      <c r="A12" s="27" t="str">
        <f t="shared" si="2"/>
        <v>п</v>
      </c>
      <c r="B12" s="155" t="s">
        <v>178</v>
      </c>
      <c r="C12" s="27" t="str">
        <f t="shared" si="2"/>
        <v/>
      </c>
      <c r="D12" s="460"/>
      <c r="E12" s="362"/>
      <c r="F12" s="287"/>
      <c r="G12" s="217" t="s">
        <v>22</v>
      </c>
      <c r="H12" s="370"/>
      <c r="I12" s="122"/>
      <c r="J12" s="220">
        <f t="shared" si="3"/>
        <v>432000</v>
      </c>
      <c r="K12" s="291">
        <f>1547000-580000-470000+830000-570000-300000-100000+35000+40000</f>
        <v>432000</v>
      </c>
      <c r="L12" s="361"/>
      <c r="M12" s="361"/>
      <c r="N12" s="84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6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6"/>
      <c r="BG12" s="107"/>
    </row>
    <row r="13" spans="1:59" s="87" customFormat="1" ht="45.75" customHeight="1" x14ac:dyDescent="0.3">
      <c r="A13" s="27" t="str">
        <f t="shared" ref="A13" si="4">IF(J13=0,"","п")</f>
        <v>п</v>
      </c>
      <c r="B13" s="155" t="s">
        <v>178</v>
      </c>
      <c r="C13" s="104"/>
      <c r="D13" s="460"/>
      <c r="E13" s="362"/>
      <c r="F13" s="287"/>
      <c r="G13" s="217" t="s">
        <v>145</v>
      </c>
      <c r="H13" s="370"/>
      <c r="I13" s="122"/>
      <c r="J13" s="220">
        <f t="shared" si="3"/>
        <v>300000</v>
      </c>
      <c r="K13" s="291">
        <v>300000</v>
      </c>
      <c r="L13" s="361"/>
      <c r="M13" s="361"/>
      <c r="N13" s="84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6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6"/>
      <c r="BG13" s="107"/>
    </row>
    <row r="14" spans="1:59" s="197" customFormat="1" ht="39" x14ac:dyDescent="0.3">
      <c r="A14" s="154" t="str">
        <f t="shared" si="2"/>
        <v>п</v>
      </c>
      <c r="B14" s="155" t="s">
        <v>179</v>
      </c>
      <c r="C14" s="28"/>
      <c r="D14" s="198" t="s">
        <v>30</v>
      </c>
      <c r="E14" s="198"/>
      <c r="F14" s="198"/>
      <c r="G14" s="199" t="s">
        <v>18</v>
      </c>
      <c r="H14" s="200"/>
      <c r="I14" s="201"/>
      <c r="J14" s="202">
        <f>+K14+L14</f>
        <v>3618175</v>
      </c>
      <c r="K14" s="203">
        <f>+K15</f>
        <v>3618175</v>
      </c>
      <c r="L14" s="204">
        <f>+L15</f>
        <v>0</v>
      </c>
      <c r="M14" s="204">
        <f>+M15</f>
        <v>0</v>
      </c>
      <c r="N14" s="30">
        <f>SUM(O14:W14)</f>
        <v>0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32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32">
        <f>Y14+N14</f>
        <v>0</v>
      </c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196"/>
    </row>
    <row r="15" spans="1:59" s="197" customFormat="1" ht="39" x14ac:dyDescent="0.3">
      <c r="A15" s="154" t="str">
        <f t="shared" si="2"/>
        <v>п</v>
      </c>
      <c r="C15" s="28"/>
      <c r="D15" s="198" t="s">
        <v>31</v>
      </c>
      <c r="E15" s="198"/>
      <c r="F15" s="198"/>
      <c r="G15" s="199" t="s">
        <v>18</v>
      </c>
      <c r="H15" s="200"/>
      <c r="I15" s="201"/>
      <c r="J15" s="202">
        <f t="shared" si="3"/>
        <v>3618175</v>
      </c>
      <c r="K15" s="203">
        <f>SUM(K16:K22)</f>
        <v>3618175</v>
      </c>
      <c r="L15" s="203">
        <f>SUM(L16:L22)</f>
        <v>0</v>
      </c>
      <c r="M15" s="203">
        <f>SUM(M16:M22)</f>
        <v>0</v>
      </c>
      <c r="N15" s="30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32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32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196"/>
    </row>
    <row r="16" spans="1:59" s="33" customFormat="1" ht="21.95" hidden="1" customHeight="1" x14ac:dyDescent="0.25">
      <c r="A16" s="27" t="str">
        <f t="shared" si="2"/>
        <v/>
      </c>
      <c r="B16" s="28" t="s">
        <v>179</v>
      </c>
      <c r="C16" s="28"/>
      <c r="D16" s="210"/>
      <c r="E16" s="185"/>
      <c r="F16" s="186"/>
      <c r="G16" s="187"/>
      <c r="H16" s="214"/>
      <c r="I16" s="111"/>
      <c r="J16" s="111">
        <f t="shared" si="3"/>
        <v>0</v>
      </c>
      <c r="K16" s="37"/>
      <c r="L16" s="35"/>
      <c r="M16" s="35"/>
      <c r="N16" s="30">
        <f>SUM(O16:W16)</f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2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2">
        <f>Y16+N16</f>
        <v>0</v>
      </c>
      <c r="BG16" s="107"/>
    </row>
    <row r="17" spans="1:59" s="195" customFormat="1" ht="37.5" x14ac:dyDescent="0.3">
      <c r="A17" s="154" t="str">
        <f t="shared" si="2"/>
        <v>п</v>
      </c>
      <c r="B17" s="155" t="s">
        <v>179</v>
      </c>
      <c r="C17" s="28"/>
      <c r="D17" s="210" t="s">
        <v>32</v>
      </c>
      <c r="E17" s="185" t="s">
        <v>33</v>
      </c>
      <c r="F17" s="186" t="s">
        <v>173</v>
      </c>
      <c r="G17" s="187" t="s">
        <v>34</v>
      </c>
      <c r="H17" s="188"/>
      <c r="I17" s="189"/>
      <c r="J17" s="190">
        <f t="shared" si="3"/>
        <v>7140</v>
      </c>
      <c r="K17" s="191">
        <f>16740-9600</f>
        <v>7140</v>
      </c>
      <c r="L17" s="205"/>
      <c r="M17" s="205"/>
      <c r="N17" s="30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2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2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196"/>
    </row>
    <row r="18" spans="1:59" s="195" customFormat="1" ht="56.25" x14ac:dyDescent="0.3">
      <c r="A18" s="154" t="str">
        <f t="shared" si="2"/>
        <v>п</v>
      </c>
      <c r="B18" s="155" t="s">
        <v>179</v>
      </c>
      <c r="C18" s="28"/>
      <c r="D18" s="210" t="s">
        <v>35</v>
      </c>
      <c r="E18" s="185" t="s">
        <v>36</v>
      </c>
      <c r="F18" s="186" t="s">
        <v>173</v>
      </c>
      <c r="G18" s="187" t="s">
        <v>174</v>
      </c>
      <c r="H18" s="188"/>
      <c r="I18" s="189"/>
      <c r="J18" s="190">
        <f t="shared" si="3"/>
        <v>2865060</v>
      </c>
      <c r="K18" s="191">
        <v>2865060</v>
      </c>
      <c r="L18" s="205"/>
      <c r="M18" s="205"/>
      <c r="N18" s="30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2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2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196"/>
    </row>
    <row r="19" spans="1:59" s="195" customFormat="1" ht="37.5" x14ac:dyDescent="0.3">
      <c r="A19" s="154" t="str">
        <f t="shared" si="2"/>
        <v>п</v>
      </c>
      <c r="B19" s="155" t="s">
        <v>179</v>
      </c>
      <c r="C19" s="28"/>
      <c r="D19" s="210" t="s">
        <v>37</v>
      </c>
      <c r="E19" s="185" t="s">
        <v>38</v>
      </c>
      <c r="F19" s="186" t="s">
        <v>173</v>
      </c>
      <c r="G19" s="187" t="s">
        <v>175</v>
      </c>
      <c r="H19" s="188"/>
      <c r="I19" s="189"/>
      <c r="J19" s="190">
        <f t="shared" si="3"/>
        <v>43000</v>
      </c>
      <c r="K19" s="191">
        <v>43000</v>
      </c>
      <c r="L19" s="205"/>
      <c r="M19" s="205"/>
      <c r="N19" s="30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2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2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196"/>
    </row>
    <row r="20" spans="1:59" s="195" customFormat="1" ht="84" customHeight="1" x14ac:dyDescent="0.3">
      <c r="A20" s="154" t="str">
        <f t="shared" si="2"/>
        <v>п</v>
      </c>
      <c r="B20" s="155" t="s">
        <v>179</v>
      </c>
      <c r="C20" s="28"/>
      <c r="D20" s="210" t="s">
        <v>39</v>
      </c>
      <c r="E20" s="185" t="s">
        <v>40</v>
      </c>
      <c r="F20" s="186" t="s">
        <v>169</v>
      </c>
      <c r="G20" s="187" t="s">
        <v>130</v>
      </c>
      <c r="H20" s="206"/>
      <c r="I20" s="207"/>
      <c r="J20" s="190">
        <f t="shared" si="3"/>
        <v>239600</v>
      </c>
      <c r="K20" s="191">
        <f>72900+140100+26600</f>
        <v>239600</v>
      </c>
      <c r="L20" s="205">
        <f>+L22</f>
        <v>0</v>
      </c>
      <c r="M20" s="205">
        <f>+M22</f>
        <v>0</v>
      </c>
      <c r="N20" s="30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2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2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196"/>
    </row>
    <row r="21" spans="1:59" s="195" customFormat="1" ht="38.25" thickBot="1" x14ac:dyDescent="0.35">
      <c r="A21" s="154" t="str">
        <f t="shared" si="2"/>
        <v>п</v>
      </c>
      <c r="B21" s="155" t="s">
        <v>179</v>
      </c>
      <c r="C21" s="28"/>
      <c r="D21" s="210" t="s">
        <v>188</v>
      </c>
      <c r="E21" s="185" t="s">
        <v>187</v>
      </c>
      <c r="F21" s="186" t="s">
        <v>159</v>
      </c>
      <c r="G21" s="187" t="s">
        <v>86</v>
      </c>
      <c r="H21" s="188"/>
      <c r="I21" s="189"/>
      <c r="J21" s="190">
        <f>+K21+L21</f>
        <v>463375</v>
      </c>
      <c r="K21" s="191">
        <v>463375</v>
      </c>
      <c r="L21" s="205"/>
      <c r="M21" s="205"/>
      <c r="N21" s="30">
        <f>SUM(O21:W21)</f>
        <v>0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2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2">
        <f>Y21+N21</f>
        <v>0</v>
      </c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196"/>
    </row>
    <row r="22" spans="1:59" s="33" customFormat="1" ht="19.5" hidden="1" thickBot="1" x14ac:dyDescent="0.3">
      <c r="A22" s="27" t="str">
        <f t="shared" si="2"/>
        <v/>
      </c>
      <c r="B22" s="28" t="s">
        <v>179</v>
      </c>
      <c r="C22" s="28"/>
      <c r="D22" s="210"/>
      <c r="E22" s="185"/>
      <c r="F22" s="186"/>
      <c r="G22" s="187"/>
      <c r="H22" s="188"/>
      <c r="I22" s="111"/>
      <c r="J22" s="129">
        <f t="shared" si="3"/>
        <v>0</v>
      </c>
      <c r="K22" s="37"/>
      <c r="L22" s="35"/>
      <c r="M22" s="35"/>
      <c r="N22" s="30">
        <f>SUM(O22:W22)</f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2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2">
        <f>Y22+N22</f>
        <v>0</v>
      </c>
      <c r="BG22" s="107"/>
    </row>
    <row r="23" spans="1:59" s="195" customFormat="1" ht="113.25" customHeight="1" x14ac:dyDescent="0.3">
      <c r="A23" s="154" t="str">
        <f t="shared" si="2"/>
        <v>п</v>
      </c>
      <c r="B23" s="155"/>
      <c r="C23" s="28"/>
      <c r="D23" s="170"/>
      <c r="E23" s="169"/>
      <c r="F23" s="170"/>
      <c r="G23" s="171"/>
      <c r="H23" s="172" t="s">
        <v>238</v>
      </c>
      <c r="I23" s="173" t="s">
        <v>129</v>
      </c>
      <c r="J23" s="174">
        <f t="shared" si="3"/>
        <v>23940215</v>
      </c>
      <c r="K23" s="175">
        <f t="shared" ref="K23:M24" si="5">+K24</f>
        <v>16463315</v>
      </c>
      <c r="L23" s="175">
        <f t="shared" si="5"/>
        <v>7476900</v>
      </c>
      <c r="M23" s="175">
        <f t="shared" si="5"/>
        <v>7476900</v>
      </c>
      <c r="N23" s="30">
        <f>SUM(O23:W23)</f>
        <v>0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2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2">
        <f>Y23+N23</f>
        <v>0</v>
      </c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196"/>
    </row>
    <row r="24" spans="1:59" s="197" customFormat="1" ht="19.5" x14ac:dyDescent="0.3">
      <c r="A24" s="154" t="str">
        <f t="shared" si="2"/>
        <v>п</v>
      </c>
      <c r="B24" s="155" t="s">
        <v>178</v>
      </c>
      <c r="C24" s="103"/>
      <c r="D24" s="177" t="s">
        <v>29</v>
      </c>
      <c r="E24" s="177"/>
      <c r="F24" s="177"/>
      <c r="G24" s="179" t="s">
        <v>3</v>
      </c>
      <c r="H24" s="180"/>
      <c r="I24" s="181"/>
      <c r="J24" s="182">
        <f t="shared" si="3"/>
        <v>23940215</v>
      </c>
      <c r="K24" s="183">
        <f t="shared" si="5"/>
        <v>16463315</v>
      </c>
      <c r="L24" s="183">
        <f t="shared" si="5"/>
        <v>7476900</v>
      </c>
      <c r="M24" s="183">
        <f t="shared" si="5"/>
        <v>7476900</v>
      </c>
      <c r="N24" s="30">
        <f>SUM(O24:W24)</f>
        <v>0</v>
      </c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>
        <f>Y24+N24</f>
        <v>0</v>
      </c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196"/>
    </row>
    <row r="25" spans="1:59" s="197" customFormat="1" ht="19.5" x14ac:dyDescent="0.3">
      <c r="A25" s="154" t="str">
        <f t="shared" si="2"/>
        <v>п</v>
      </c>
      <c r="B25" s="155" t="s">
        <v>178</v>
      </c>
      <c r="C25" s="103"/>
      <c r="D25" s="177" t="s">
        <v>28</v>
      </c>
      <c r="E25" s="177"/>
      <c r="F25" s="177"/>
      <c r="G25" s="179" t="s">
        <v>3</v>
      </c>
      <c r="H25" s="180"/>
      <c r="I25" s="181"/>
      <c r="J25" s="182">
        <f>+K25+L25</f>
        <v>23940215</v>
      </c>
      <c r="K25" s="183">
        <f>SUM(K26)+K29</f>
        <v>16463315</v>
      </c>
      <c r="L25" s="183">
        <f>SUM(L26)+L29</f>
        <v>7476900</v>
      </c>
      <c r="M25" s="183">
        <f>SUM(M26)+M29</f>
        <v>7476900</v>
      </c>
      <c r="N25" s="30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196"/>
    </row>
    <row r="26" spans="1:59" s="195" customFormat="1" ht="37.5" x14ac:dyDescent="0.3">
      <c r="A26" s="154" t="str">
        <f>IF(J26=0,"","п")</f>
        <v>п</v>
      </c>
      <c r="B26" s="155" t="s">
        <v>178</v>
      </c>
      <c r="C26" s="103"/>
      <c r="D26" s="210" t="s">
        <v>44</v>
      </c>
      <c r="E26" s="208" t="s">
        <v>172</v>
      </c>
      <c r="F26" s="209" t="s">
        <v>161</v>
      </c>
      <c r="G26" s="187" t="s">
        <v>170</v>
      </c>
      <c r="H26" s="188"/>
      <c r="I26" s="189"/>
      <c r="J26" s="190">
        <f>+K26+L26</f>
        <v>23940215</v>
      </c>
      <c r="K26" s="191">
        <f>15639645+468000+315370+215300-175000</f>
        <v>16463315</v>
      </c>
      <c r="L26" s="205">
        <f>700000+6776900</f>
        <v>7476900</v>
      </c>
      <c r="M26" s="205">
        <f>700000+6776900</f>
        <v>7476900</v>
      </c>
      <c r="N26" s="30">
        <f>SUM(O26:W26)</f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2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">
        <f>Y26+N26</f>
        <v>0</v>
      </c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196"/>
    </row>
    <row r="27" spans="1:59" s="233" customFormat="1" ht="37.5" hidden="1" x14ac:dyDescent="0.3">
      <c r="A27" s="211" t="str">
        <f>IF(J27=0,"","п")</f>
        <v/>
      </c>
      <c r="B27" s="212" t="s">
        <v>178</v>
      </c>
      <c r="C27" s="490"/>
      <c r="D27" s="461"/>
      <c r="E27" s="364"/>
      <c r="F27" s="384"/>
      <c r="G27" s="217" t="s">
        <v>217</v>
      </c>
      <c r="H27" s="284"/>
      <c r="I27" s="219"/>
      <c r="J27" s="220">
        <f>+K27+L27</f>
        <v>0</v>
      </c>
      <c r="K27" s="221"/>
      <c r="L27" s="507"/>
      <c r="M27" s="507"/>
      <c r="N27" s="449"/>
      <c r="O27" s="450"/>
      <c r="P27" s="450"/>
      <c r="Q27" s="450"/>
      <c r="R27" s="450"/>
      <c r="S27" s="450"/>
      <c r="T27" s="450"/>
      <c r="U27" s="450"/>
      <c r="V27" s="450"/>
      <c r="W27" s="450"/>
      <c r="X27" s="450"/>
      <c r="Y27" s="508"/>
      <c r="Z27" s="450"/>
      <c r="AA27" s="450"/>
      <c r="AB27" s="450"/>
      <c r="AC27" s="450"/>
      <c r="AD27" s="450"/>
      <c r="AE27" s="450"/>
      <c r="AF27" s="450"/>
      <c r="AG27" s="450"/>
      <c r="AH27" s="450"/>
      <c r="AI27" s="450"/>
      <c r="AJ27" s="450"/>
      <c r="AK27" s="508"/>
      <c r="BG27" s="196"/>
    </row>
    <row r="28" spans="1:59" s="233" customFormat="1" ht="36.75" customHeight="1" thickBot="1" x14ac:dyDescent="0.35">
      <c r="A28" s="211" t="str">
        <f t="shared" si="2"/>
        <v>п</v>
      </c>
      <c r="B28" s="212" t="s">
        <v>178</v>
      </c>
      <c r="C28" s="490"/>
      <c r="D28" s="462"/>
      <c r="E28" s="364"/>
      <c r="F28" s="384"/>
      <c r="G28" s="443" t="s">
        <v>22</v>
      </c>
      <c r="H28" s="240"/>
      <c r="I28" s="241"/>
      <c r="J28" s="242">
        <f t="shared" si="3"/>
        <v>6776900</v>
      </c>
      <c r="K28" s="243"/>
      <c r="L28" s="509">
        <v>6776900</v>
      </c>
      <c r="M28" s="509">
        <v>6776900</v>
      </c>
      <c r="N28" s="449">
        <f>SUM(O28:W28)</f>
        <v>0</v>
      </c>
      <c r="O28" s="450"/>
      <c r="P28" s="450"/>
      <c r="Q28" s="450"/>
      <c r="R28" s="450"/>
      <c r="S28" s="450"/>
      <c r="T28" s="450"/>
      <c r="U28" s="450"/>
      <c r="V28" s="450"/>
      <c r="W28" s="450"/>
      <c r="X28" s="450"/>
      <c r="Y28" s="508"/>
      <c r="Z28" s="450"/>
      <c r="AA28" s="450"/>
      <c r="AB28" s="450"/>
      <c r="AC28" s="450"/>
      <c r="AD28" s="450"/>
      <c r="AE28" s="450"/>
      <c r="AF28" s="450"/>
      <c r="AG28" s="450"/>
      <c r="AH28" s="450"/>
      <c r="AI28" s="450"/>
      <c r="AJ28" s="450"/>
      <c r="AK28" s="508">
        <f>Y28+N28</f>
        <v>0</v>
      </c>
      <c r="BG28" s="196"/>
    </row>
    <row r="29" spans="1:59" s="195" customFormat="1" ht="57" hidden="1" thickBot="1" x14ac:dyDescent="0.35">
      <c r="A29" s="211" t="str">
        <f>IF(J29=0,"","п")</f>
        <v/>
      </c>
      <c r="B29" s="212" t="s">
        <v>178</v>
      </c>
      <c r="C29" s="510"/>
      <c r="D29" s="186" t="s">
        <v>252</v>
      </c>
      <c r="E29" s="185">
        <v>7363</v>
      </c>
      <c r="F29" s="186" t="s">
        <v>153</v>
      </c>
      <c r="G29" s="187" t="s">
        <v>97</v>
      </c>
      <c r="H29" s="188"/>
      <c r="I29" s="189"/>
      <c r="J29" s="190">
        <f>+K29+L29</f>
        <v>0</v>
      </c>
      <c r="K29" s="191"/>
      <c r="L29" s="191"/>
      <c r="M29" s="191"/>
      <c r="N29" s="382"/>
      <c r="O29" s="432"/>
      <c r="P29" s="432"/>
      <c r="Q29" s="432"/>
      <c r="R29" s="432"/>
      <c r="S29" s="432"/>
      <c r="T29" s="432"/>
      <c r="U29" s="432"/>
      <c r="V29" s="432"/>
      <c r="W29" s="432"/>
      <c r="X29" s="432"/>
      <c r="Y29" s="383"/>
      <c r="Z29" s="432"/>
      <c r="AA29" s="432"/>
      <c r="AB29" s="432"/>
      <c r="AC29" s="432"/>
      <c r="AD29" s="432"/>
      <c r="AE29" s="432"/>
      <c r="AF29" s="432"/>
      <c r="AG29" s="432"/>
      <c r="AH29" s="432"/>
      <c r="AI29" s="432"/>
      <c r="AJ29" s="432"/>
      <c r="AK29" s="383"/>
      <c r="BG29" s="196"/>
    </row>
    <row r="30" spans="1:59" s="233" customFormat="1" ht="20.25" hidden="1" thickBot="1" x14ac:dyDescent="0.35">
      <c r="A30" s="211" t="str">
        <f>IF(J30=0,"","п")</f>
        <v/>
      </c>
      <c r="B30" s="212" t="s">
        <v>178</v>
      </c>
      <c r="C30" s="490"/>
      <c r="D30" s="463"/>
      <c r="E30" s="215"/>
      <c r="F30" s="216"/>
      <c r="G30" s="239" t="s">
        <v>22</v>
      </c>
      <c r="H30" s="284"/>
      <c r="I30" s="219"/>
      <c r="J30" s="220">
        <f>+K30+L30</f>
        <v>0</v>
      </c>
      <c r="K30" s="221"/>
      <c r="L30" s="507"/>
      <c r="M30" s="507"/>
      <c r="N30" s="449"/>
      <c r="O30" s="450"/>
      <c r="P30" s="450"/>
      <c r="Q30" s="450"/>
      <c r="R30" s="450"/>
      <c r="S30" s="450"/>
      <c r="T30" s="450"/>
      <c r="U30" s="450"/>
      <c r="V30" s="450"/>
      <c r="W30" s="450"/>
      <c r="X30" s="450"/>
      <c r="Y30" s="508"/>
      <c r="Z30" s="450"/>
      <c r="AA30" s="450"/>
      <c r="AB30" s="450"/>
      <c r="AC30" s="450"/>
      <c r="AD30" s="450"/>
      <c r="AE30" s="450"/>
      <c r="AF30" s="450"/>
      <c r="AG30" s="450"/>
      <c r="AH30" s="450"/>
      <c r="AI30" s="450"/>
      <c r="AJ30" s="450"/>
      <c r="AK30" s="508"/>
      <c r="BG30" s="196"/>
    </row>
    <row r="31" spans="1:59" s="87" customFormat="1" ht="19.5" hidden="1" thickBot="1" x14ac:dyDescent="0.35">
      <c r="A31" s="149"/>
      <c r="B31" s="101"/>
      <c r="C31" s="104"/>
      <c r="D31" s="461"/>
      <c r="E31" s="363"/>
      <c r="F31" s="385"/>
      <c r="G31" s="217"/>
      <c r="H31" s="370"/>
      <c r="I31" s="122"/>
      <c r="J31" s="135"/>
      <c r="K31" s="83"/>
      <c r="L31" s="83"/>
      <c r="M31" s="83"/>
      <c r="N31" s="84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6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6"/>
      <c r="BG31" s="107"/>
    </row>
    <row r="32" spans="1:59" s="33" customFormat="1" ht="101.25" hidden="1" customHeight="1" x14ac:dyDescent="0.3">
      <c r="A32" s="27" t="str">
        <f t="shared" si="2"/>
        <v/>
      </c>
      <c r="B32" s="28"/>
      <c r="C32" s="28"/>
      <c r="D32" s="170"/>
      <c r="E32" s="169"/>
      <c r="F32" s="170"/>
      <c r="G32" s="171"/>
      <c r="H32" s="172" t="s">
        <v>127</v>
      </c>
      <c r="I32" s="118" t="s">
        <v>128</v>
      </c>
      <c r="J32" s="127">
        <f t="shared" si="3"/>
        <v>0</v>
      </c>
      <c r="K32" s="29">
        <f>+K33</f>
        <v>0</v>
      </c>
      <c r="L32" s="29">
        <f>+L33</f>
        <v>0</v>
      </c>
      <c r="M32" s="29">
        <f>+M33</f>
        <v>0</v>
      </c>
      <c r="N32" s="30">
        <f>SUM(O32:W32)</f>
        <v>0</v>
      </c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2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2">
        <f>Y32+N32</f>
        <v>0</v>
      </c>
      <c r="BG32" s="107"/>
    </row>
    <row r="33" spans="1:59" s="44" customFormat="1" ht="20.25" hidden="1" thickBot="1" x14ac:dyDescent="0.3">
      <c r="A33" s="27" t="str">
        <f t="shared" si="2"/>
        <v/>
      </c>
      <c r="B33" s="28" t="s">
        <v>178</v>
      </c>
      <c r="C33" s="103"/>
      <c r="D33" s="177" t="s">
        <v>29</v>
      </c>
      <c r="E33" s="177"/>
      <c r="F33" s="177"/>
      <c r="G33" s="179" t="s">
        <v>3</v>
      </c>
      <c r="H33" s="180"/>
      <c r="I33" s="119"/>
      <c r="J33" s="128">
        <f t="shared" si="3"/>
        <v>0</v>
      </c>
      <c r="K33" s="62">
        <f t="shared" ref="K33:M34" si="6">SUM(K34)</f>
        <v>0</v>
      </c>
      <c r="L33" s="62">
        <f t="shared" si="6"/>
        <v>0</v>
      </c>
      <c r="M33" s="62">
        <f t="shared" si="6"/>
        <v>0</v>
      </c>
      <c r="N33" s="30">
        <f>SUM(O33:W33)</f>
        <v>0</v>
      </c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>
        <f>Y33+N33</f>
        <v>0</v>
      </c>
      <c r="BG33" s="107"/>
    </row>
    <row r="34" spans="1:59" s="44" customFormat="1" ht="20.25" hidden="1" thickBot="1" x14ac:dyDescent="0.3">
      <c r="A34" s="27" t="str">
        <f t="shared" si="2"/>
        <v/>
      </c>
      <c r="B34" s="28" t="s">
        <v>178</v>
      </c>
      <c r="C34" s="103"/>
      <c r="D34" s="177" t="s">
        <v>28</v>
      </c>
      <c r="E34" s="177"/>
      <c r="F34" s="177"/>
      <c r="G34" s="179" t="s">
        <v>3</v>
      </c>
      <c r="H34" s="180"/>
      <c r="I34" s="119"/>
      <c r="J34" s="128">
        <f t="shared" si="3"/>
        <v>0</v>
      </c>
      <c r="K34" s="62">
        <f t="shared" si="6"/>
        <v>0</v>
      </c>
      <c r="L34" s="62">
        <f t="shared" si="6"/>
        <v>0</v>
      </c>
      <c r="M34" s="62">
        <f t="shared" si="6"/>
        <v>0</v>
      </c>
      <c r="N34" s="30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BG34" s="107"/>
    </row>
    <row r="35" spans="1:59" s="33" customFormat="1" ht="38.25" hidden="1" thickBot="1" x14ac:dyDescent="0.3">
      <c r="A35" s="27" t="str">
        <f t="shared" si="2"/>
        <v/>
      </c>
      <c r="B35" s="28" t="s">
        <v>178</v>
      </c>
      <c r="C35" s="105"/>
      <c r="D35" s="210" t="s">
        <v>44</v>
      </c>
      <c r="E35" s="210" t="s">
        <v>172</v>
      </c>
      <c r="F35" s="210" t="s">
        <v>161</v>
      </c>
      <c r="G35" s="187" t="s">
        <v>170</v>
      </c>
      <c r="H35" s="188"/>
      <c r="I35" s="111"/>
      <c r="J35" s="129">
        <f t="shared" si="3"/>
        <v>0</v>
      </c>
      <c r="K35" s="37"/>
      <c r="L35" s="37"/>
      <c r="M35" s="37"/>
      <c r="N35" s="67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BG35" s="107"/>
    </row>
    <row r="36" spans="1:59" s="195" customFormat="1" ht="138" customHeight="1" x14ac:dyDescent="0.3">
      <c r="A36" s="154" t="str">
        <f>IF(J36=0,"","п")</f>
        <v>п</v>
      </c>
      <c r="B36" s="155"/>
      <c r="C36" s="28"/>
      <c r="D36" s="170"/>
      <c r="E36" s="169"/>
      <c r="F36" s="170"/>
      <c r="G36" s="171"/>
      <c r="H36" s="172" t="s">
        <v>260</v>
      </c>
      <c r="I36" s="173" t="s">
        <v>261</v>
      </c>
      <c r="J36" s="174">
        <f>+K36+L36</f>
        <v>3123115</v>
      </c>
      <c r="K36" s="175">
        <f>+K37</f>
        <v>2700353</v>
      </c>
      <c r="L36" s="175">
        <f>+L37</f>
        <v>422762</v>
      </c>
      <c r="M36" s="175">
        <f>+M37</f>
        <v>422762</v>
      </c>
      <c r="N36" s="30">
        <f>SUM(O36:W36)</f>
        <v>0</v>
      </c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2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2">
        <f>Y36+N36</f>
        <v>0</v>
      </c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196"/>
    </row>
    <row r="37" spans="1:59" s="197" customFormat="1" ht="19.5" x14ac:dyDescent="0.3">
      <c r="A37" s="154" t="str">
        <f>IF(J37=0,"","п")</f>
        <v>п</v>
      </c>
      <c r="B37" s="155" t="s">
        <v>178</v>
      </c>
      <c r="C37" s="103"/>
      <c r="D37" s="177" t="s">
        <v>29</v>
      </c>
      <c r="E37" s="177"/>
      <c r="F37" s="177"/>
      <c r="G37" s="179" t="s">
        <v>3</v>
      </c>
      <c r="H37" s="180"/>
      <c r="I37" s="181"/>
      <c r="J37" s="182">
        <f>+K37+L37</f>
        <v>3123115</v>
      </c>
      <c r="K37" s="183">
        <f t="shared" ref="K37:M38" si="7">SUM(K38)</f>
        <v>2700353</v>
      </c>
      <c r="L37" s="183">
        <f t="shared" si="7"/>
        <v>422762</v>
      </c>
      <c r="M37" s="183">
        <f t="shared" si="7"/>
        <v>422762</v>
      </c>
      <c r="N37" s="30">
        <f>SUM(O37:W37)</f>
        <v>0</v>
      </c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>
        <f>Y37+N37</f>
        <v>0</v>
      </c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196"/>
    </row>
    <row r="38" spans="1:59" s="197" customFormat="1" ht="19.5" x14ac:dyDescent="0.3">
      <c r="A38" s="154" t="str">
        <f>IF(J38=0,"","п")</f>
        <v>п</v>
      </c>
      <c r="B38" s="155" t="s">
        <v>178</v>
      </c>
      <c r="C38" s="103"/>
      <c r="D38" s="177" t="s">
        <v>28</v>
      </c>
      <c r="E38" s="177"/>
      <c r="F38" s="177"/>
      <c r="G38" s="179" t="s">
        <v>3</v>
      </c>
      <c r="H38" s="180"/>
      <c r="I38" s="181"/>
      <c r="J38" s="182">
        <f>+K38+L38</f>
        <v>3123115</v>
      </c>
      <c r="K38" s="183">
        <f>SUM(K39)</f>
        <v>2700353</v>
      </c>
      <c r="L38" s="183">
        <f t="shared" si="7"/>
        <v>422762</v>
      </c>
      <c r="M38" s="183">
        <f t="shared" si="7"/>
        <v>422762</v>
      </c>
      <c r="N38" s="30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196"/>
    </row>
    <row r="39" spans="1:59" s="195" customFormat="1" ht="26.25" customHeight="1" thickBot="1" x14ac:dyDescent="0.35">
      <c r="A39" s="154" t="str">
        <f>IF(J39=0,"","п")</f>
        <v>п</v>
      </c>
      <c r="B39" s="155" t="s">
        <v>178</v>
      </c>
      <c r="C39" s="103"/>
      <c r="D39" s="210" t="s">
        <v>110</v>
      </c>
      <c r="E39" s="186" t="s">
        <v>111</v>
      </c>
      <c r="F39" s="186" t="s">
        <v>112</v>
      </c>
      <c r="G39" s="187" t="s">
        <v>113</v>
      </c>
      <c r="H39" s="188"/>
      <c r="I39" s="189"/>
      <c r="J39" s="190">
        <f>+K39+L39</f>
        <v>3123115</v>
      </c>
      <c r="K39" s="191">
        <f>2376764+145334+60000+79020+29300+9935</f>
        <v>2700353</v>
      </c>
      <c r="L39" s="191">
        <v>422762</v>
      </c>
      <c r="M39" s="191">
        <v>422762</v>
      </c>
      <c r="N39" s="30">
        <f>SUM(O39:W39)</f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2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2">
        <f>Y39+N39</f>
        <v>0</v>
      </c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196"/>
    </row>
    <row r="40" spans="1:59" s="33" customFormat="1" ht="75.75" hidden="1" thickBot="1" x14ac:dyDescent="0.3">
      <c r="A40" s="27" t="str">
        <f t="shared" si="2"/>
        <v/>
      </c>
      <c r="B40" s="28"/>
      <c r="C40" s="28"/>
      <c r="D40" s="170"/>
      <c r="E40" s="169"/>
      <c r="F40" s="170"/>
      <c r="G40" s="171"/>
      <c r="H40" s="172" t="s">
        <v>232</v>
      </c>
      <c r="I40" s="118" t="s">
        <v>233</v>
      </c>
      <c r="J40" s="127">
        <f t="shared" si="3"/>
        <v>0</v>
      </c>
      <c r="K40" s="29">
        <f>+K41</f>
        <v>0</v>
      </c>
      <c r="L40" s="29">
        <f>+L41</f>
        <v>0</v>
      </c>
      <c r="M40" s="29">
        <f>+M41</f>
        <v>0</v>
      </c>
      <c r="N40" s="30">
        <f>SUM(O40:W40)</f>
        <v>0</v>
      </c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2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2">
        <f>Y40+N40</f>
        <v>0</v>
      </c>
      <c r="BG40" s="107"/>
    </row>
    <row r="41" spans="1:59" s="44" customFormat="1" ht="20.25" hidden="1" thickBot="1" x14ac:dyDescent="0.3">
      <c r="A41" s="27" t="str">
        <f t="shared" si="2"/>
        <v/>
      </c>
      <c r="B41" s="28" t="s">
        <v>178</v>
      </c>
      <c r="C41" s="103"/>
      <c r="D41" s="177" t="s">
        <v>29</v>
      </c>
      <c r="E41" s="177"/>
      <c r="F41" s="177"/>
      <c r="G41" s="179" t="s">
        <v>3</v>
      </c>
      <c r="H41" s="180"/>
      <c r="I41" s="119"/>
      <c r="J41" s="128">
        <f t="shared" si="3"/>
        <v>0</v>
      </c>
      <c r="K41" s="62">
        <f t="shared" ref="K41:M42" si="8">SUM(K42)</f>
        <v>0</v>
      </c>
      <c r="L41" s="62">
        <f t="shared" si="8"/>
        <v>0</v>
      </c>
      <c r="M41" s="62">
        <f t="shared" si="8"/>
        <v>0</v>
      </c>
      <c r="N41" s="30">
        <f>SUM(O41:W41)</f>
        <v>0</v>
      </c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>
        <f>Y41+N41</f>
        <v>0</v>
      </c>
      <c r="BG41" s="107"/>
    </row>
    <row r="42" spans="1:59" s="44" customFormat="1" ht="20.25" hidden="1" thickBot="1" x14ac:dyDescent="0.3">
      <c r="A42" s="27" t="str">
        <f t="shared" si="2"/>
        <v/>
      </c>
      <c r="B42" s="28" t="s">
        <v>178</v>
      </c>
      <c r="C42" s="103"/>
      <c r="D42" s="177" t="s">
        <v>28</v>
      </c>
      <c r="E42" s="177"/>
      <c r="F42" s="177"/>
      <c r="G42" s="179" t="s">
        <v>3</v>
      </c>
      <c r="H42" s="180"/>
      <c r="I42" s="119"/>
      <c r="J42" s="128">
        <f t="shared" si="3"/>
        <v>0</v>
      </c>
      <c r="K42" s="62">
        <f>SUM(K43)</f>
        <v>0</v>
      </c>
      <c r="L42" s="62">
        <f t="shared" si="8"/>
        <v>0</v>
      </c>
      <c r="M42" s="62">
        <f t="shared" si="8"/>
        <v>0</v>
      </c>
      <c r="N42" s="30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BG42" s="107"/>
    </row>
    <row r="43" spans="1:59" s="33" customFormat="1" ht="57" hidden="1" thickBot="1" x14ac:dyDescent="0.3">
      <c r="A43" s="27" t="str">
        <f t="shared" si="2"/>
        <v/>
      </c>
      <c r="B43" s="28" t="s">
        <v>178</v>
      </c>
      <c r="C43" s="103"/>
      <c r="D43" s="210" t="s">
        <v>41</v>
      </c>
      <c r="E43" s="186" t="s">
        <v>42</v>
      </c>
      <c r="F43" s="186" t="s">
        <v>87</v>
      </c>
      <c r="G43" s="187" t="s">
        <v>43</v>
      </c>
      <c r="H43" s="188"/>
      <c r="I43" s="111"/>
      <c r="J43" s="129">
        <f t="shared" si="3"/>
        <v>0</v>
      </c>
      <c r="K43" s="37"/>
      <c r="L43" s="36"/>
      <c r="M43" s="36"/>
      <c r="N43" s="30">
        <f>SUM(O43:W43)</f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2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2">
        <f>Y43+N43</f>
        <v>0</v>
      </c>
      <c r="BG43" s="107"/>
    </row>
    <row r="44" spans="1:59" s="195" customFormat="1" ht="75" x14ac:dyDescent="0.3">
      <c r="A44" s="154" t="str">
        <f t="shared" si="2"/>
        <v>п</v>
      </c>
      <c r="B44" s="155"/>
      <c r="C44" s="28"/>
      <c r="D44" s="170"/>
      <c r="E44" s="169"/>
      <c r="F44" s="170"/>
      <c r="G44" s="171"/>
      <c r="H44" s="172" t="s">
        <v>234</v>
      </c>
      <c r="I44" s="173" t="s">
        <v>235</v>
      </c>
      <c r="J44" s="174">
        <f t="shared" si="3"/>
        <v>16766761.469999999</v>
      </c>
      <c r="K44" s="175">
        <f>+K45</f>
        <v>16552561.469999999</v>
      </c>
      <c r="L44" s="175">
        <f t="shared" ref="L44:M44" si="9">+L45</f>
        <v>214200</v>
      </c>
      <c r="M44" s="175">
        <f t="shared" si="9"/>
        <v>0</v>
      </c>
      <c r="N44" s="30">
        <f>SUM(O44:W44)</f>
        <v>0</v>
      </c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2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2">
        <f>Y44+N44</f>
        <v>0</v>
      </c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196"/>
    </row>
    <row r="45" spans="1:59" s="197" customFormat="1" ht="19.5" x14ac:dyDescent="0.3">
      <c r="A45" s="154" t="str">
        <f t="shared" si="2"/>
        <v>п</v>
      </c>
      <c r="B45" s="155" t="s">
        <v>178</v>
      </c>
      <c r="C45" s="103"/>
      <c r="D45" s="177" t="s">
        <v>29</v>
      </c>
      <c r="E45" s="177"/>
      <c r="F45" s="177"/>
      <c r="G45" s="179" t="s">
        <v>3</v>
      </c>
      <c r="H45" s="180"/>
      <c r="I45" s="181"/>
      <c r="J45" s="182">
        <f t="shared" si="3"/>
        <v>16766761.469999999</v>
      </c>
      <c r="K45" s="183">
        <f>SUM(K46)</f>
        <v>16552561.469999999</v>
      </c>
      <c r="L45" s="183">
        <f>SUM(L46)</f>
        <v>214200</v>
      </c>
      <c r="M45" s="183">
        <f>SUM(M46)</f>
        <v>0</v>
      </c>
      <c r="N45" s="30">
        <f>SUM(O45:W45)</f>
        <v>0</v>
      </c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>
        <f>Y45+N45</f>
        <v>0</v>
      </c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196"/>
    </row>
    <row r="46" spans="1:59" s="197" customFormat="1" ht="19.5" x14ac:dyDescent="0.3">
      <c r="A46" s="154" t="str">
        <f t="shared" si="2"/>
        <v>п</v>
      </c>
      <c r="B46" s="155" t="s">
        <v>178</v>
      </c>
      <c r="C46" s="103"/>
      <c r="D46" s="177" t="s">
        <v>28</v>
      </c>
      <c r="E46" s="177"/>
      <c r="F46" s="177"/>
      <c r="G46" s="179" t="s">
        <v>3</v>
      </c>
      <c r="H46" s="180"/>
      <c r="I46" s="181"/>
      <c r="J46" s="182">
        <f>+K46+L46</f>
        <v>16766761.469999999</v>
      </c>
      <c r="K46" s="183">
        <f>SUM(K47:K51)-K51-K49</f>
        <v>16552561.469999999</v>
      </c>
      <c r="L46" s="183">
        <f>SUM(L47:L51)-L51-L49</f>
        <v>214200</v>
      </c>
      <c r="M46" s="183">
        <f>SUM(M47:M51)-M51</f>
        <v>0</v>
      </c>
      <c r="N46" s="30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196"/>
    </row>
    <row r="47" spans="1:59" s="33" customFormat="1" ht="42" hidden="1" customHeight="1" x14ac:dyDescent="0.25">
      <c r="A47" s="27" t="str">
        <f t="shared" si="2"/>
        <v/>
      </c>
      <c r="B47" s="28" t="s">
        <v>178</v>
      </c>
      <c r="C47" s="105"/>
      <c r="D47" s="210" t="s">
        <v>44</v>
      </c>
      <c r="E47" s="186" t="s">
        <v>172</v>
      </c>
      <c r="F47" s="186" t="s">
        <v>161</v>
      </c>
      <c r="G47" s="390" t="s">
        <v>170</v>
      </c>
      <c r="H47" s="188"/>
      <c r="I47" s="111"/>
      <c r="J47" s="129">
        <f t="shared" si="3"/>
        <v>0</v>
      </c>
      <c r="K47" s="37"/>
      <c r="L47" s="37"/>
      <c r="M47" s="37"/>
      <c r="N47" s="67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>
        <v>0</v>
      </c>
      <c r="BG47" s="107"/>
    </row>
    <row r="48" spans="1:59" s="195" customFormat="1" ht="56.25" x14ac:dyDescent="0.3">
      <c r="A48" s="154" t="str">
        <f t="shared" si="2"/>
        <v>п</v>
      </c>
      <c r="B48" s="155" t="s">
        <v>178</v>
      </c>
      <c r="C48" s="103"/>
      <c r="D48" s="210" t="s">
        <v>41</v>
      </c>
      <c r="E48" s="186" t="s">
        <v>42</v>
      </c>
      <c r="F48" s="186" t="s">
        <v>87</v>
      </c>
      <c r="G48" s="187" t="s">
        <v>43</v>
      </c>
      <c r="H48" s="188"/>
      <c r="I48" s="189"/>
      <c r="J48" s="190">
        <f t="shared" si="3"/>
        <v>13739812.470000001</v>
      </c>
      <c r="K48" s="190">
        <f>14236470+677405+915502+49900+122290-2475954.53</f>
        <v>13525612.470000001</v>
      </c>
      <c r="L48" s="191">
        <v>214200</v>
      </c>
      <c r="M48" s="191"/>
      <c r="N48" s="30">
        <f>SUM(O48:W48)</f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2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2">
        <f>Y48+N48</f>
        <v>0</v>
      </c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196"/>
    </row>
    <row r="49" spans="1:59" s="195" customFormat="1" ht="41.25" customHeight="1" x14ac:dyDescent="0.3">
      <c r="A49" s="211" t="str">
        <f t="shared" ref="A49" si="10">IF(J49=0,"","п")</f>
        <v>п</v>
      </c>
      <c r="B49" s="212" t="s">
        <v>178</v>
      </c>
      <c r="C49" s="103"/>
      <c r="D49" s="210"/>
      <c r="E49" s="186"/>
      <c r="F49" s="186"/>
      <c r="G49" s="217" t="s">
        <v>22</v>
      </c>
      <c r="H49" s="370"/>
      <c r="I49" s="122"/>
      <c r="J49" s="220">
        <f t="shared" ref="J49" si="11">+K49+L49</f>
        <v>264100</v>
      </c>
      <c r="K49" s="220">
        <v>49900</v>
      </c>
      <c r="L49" s="221">
        <v>214200</v>
      </c>
      <c r="M49" s="191"/>
      <c r="N49" s="30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2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2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196"/>
    </row>
    <row r="50" spans="1:59" s="195" customFormat="1" ht="42" customHeight="1" x14ac:dyDescent="0.3">
      <c r="A50" s="154" t="str">
        <f>IF(J50=0,"","п")</f>
        <v>п</v>
      </c>
      <c r="B50" s="155"/>
      <c r="C50" s="103"/>
      <c r="D50" s="210" t="s">
        <v>246</v>
      </c>
      <c r="E50" s="186" t="s">
        <v>247</v>
      </c>
      <c r="F50" s="186" t="s">
        <v>248</v>
      </c>
      <c r="G50" s="213" t="s">
        <v>249</v>
      </c>
      <c r="H50" s="214"/>
      <c r="I50" s="189"/>
      <c r="J50" s="190">
        <f>+K50+L50</f>
        <v>3026949</v>
      </c>
      <c r="K50" s="191">
        <f>1609500+1811632+905817+300000-1600000</f>
        <v>3026949</v>
      </c>
      <c r="L50" s="192"/>
      <c r="M50" s="192"/>
      <c r="N50" s="30">
        <f>SUM(O50:W50)</f>
        <v>0</v>
      </c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2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2">
        <f>Y50+N50</f>
        <v>0</v>
      </c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196"/>
    </row>
    <row r="51" spans="1:59" s="233" customFormat="1" ht="49.5" customHeight="1" thickBot="1" x14ac:dyDescent="0.35">
      <c r="A51" s="211" t="str">
        <f t="shared" si="2"/>
        <v>п</v>
      </c>
      <c r="B51" s="212" t="s">
        <v>178</v>
      </c>
      <c r="C51" s="104"/>
      <c r="D51" s="463"/>
      <c r="E51" s="215"/>
      <c r="F51" s="216"/>
      <c r="G51" s="217" t="s">
        <v>22</v>
      </c>
      <c r="H51" s="218"/>
      <c r="I51" s="219"/>
      <c r="J51" s="220">
        <f t="shared" si="3"/>
        <v>3017449</v>
      </c>
      <c r="K51" s="221">
        <f>1811632+905817+300000</f>
        <v>3017449</v>
      </c>
      <c r="L51" s="222"/>
      <c r="M51" s="222"/>
      <c r="N51" s="84">
        <f>SUM(O51:W51)</f>
        <v>0</v>
      </c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6">
        <f>Y51+N51</f>
        <v>0</v>
      </c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196"/>
    </row>
    <row r="52" spans="1:59" s="195" customFormat="1" ht="42" customHeight="1" x14ac:dyDescent="0.3">
      <c r="A52" s="154" t="str">
        <f t="shared" si="2"/>
        <v>п</v>
      </c>
      <c r="B52" s="155"/>
      <c r="C52" s="28"/>
      <c r="D52" s="170"/>
      <c r="E52" s="169"/>
      <c r="F52" s="170"/>
      <c r="G52" s="171"/>
      <c r="H52" s="172" t="s">
        <v>17</v>
      </c>
      <c r="I52" s="173" t="s">
        <v>119</v>
      </c>
      <c r="J52" s="174">
        <f t="shared" si="3"/>
        <v>52459.5</v>
      </c>
      <c r="K52" s="175">
        <f t="shared" ref="K52:M53" si="12">+K53</f>
        <v>52459.5</v>
      </c>
      <c r="L52" s="175">
        <f t="shared" si="12"/>
        <v>0</v>
      </c>
      <c r="M52" s="175">
        <f t="shared" si="12"/>
        <v>0</v>
      </c>
      <c r="N52" s="30">
        <f>SUM(O52:W52)</f>
        <v>0</v>
      </c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2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2">
        <f>Y52+N52</f>
        <v>0</v>
      </c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196"/>
    </row>
    <row r="53" spans="1:59" s="197" customFormat="1" ht="39" x14ac:dyDescent="0.3">
      <c r="A53" s="154" t="str">
        <f t="shared" si="2"/>
        <v>п</v>
      </c>
      <c r="B53" s="155" t="s">
        <v>13</v>
      </c>
      <c r="C53" s="103"/>
      <c r="D53" s="223" t="s">
        <v>165</v>
      </c>
      <c r="E53" s="198"/>
      <c r="F53" s="198"/>
      <c r="G53" s="199" t="s">
        <v>294</v>
      </c>
      <c r="H53" s="180"/>
      <c r="I53" s="181"/>
      <c r="J53" s="182">
        <f t="shared" si="3"/>
        <v>52459.5</v>
      </c>
      <c r="K53" s="183">
        <f t="shared" si="12"/>
        <v>52459.5</v>
      </c>
      <c r="L53" s="183">
        <f t="shared" si="12"/>
        <v>0</v>
      </c>
      <c r="M53" s="183">
        <f t="shared" si="12"/>
        <v>0</v>
      </c>
      <c r="N53" s="30">
        <f>SUM(O53:W53)</f>
        <v>0</v>
      </c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32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32">
        <f>Y53+N53</f>
        <v>0</v>
      </c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196"/>
    </row>
    <row r="54" spans="1:59" s="197" customFormat="1" ht="39" x14ac:dyDescent="0.3">
      <c r="A54" s="154" t="str">
        <f t="shared" si="2"/>
        <v>п</v>
      </c>
      <c r="B54" s="155" t="s">
        <v>13</v>
      </c>
      <c r="C54" s="103"/>
      <c r="D54" s="223" t="s">
        <v>166</v>
      </c>
      <c r="E54" s="198"/>
      <c r="F54" s="198"/>
      <c r="G54" s="199" t="s">
        <v>294</v>
      </c>
      <c r="H54" s="224"/>
      <c r="I54" s="225"/>
      <c r="J54" s="226">
        <f t="shared" si="3"/>
        <v>52459.5</v>
      </c>
      <c r="K54" s="183">
        <f>SUM(K55:K56)</f>
        <v>52459.5</v>
      </c>
      <c r="L54" s="183">
        <f>SUM(L55:L56)</f>
        <v>0</v>
      </c>
      <c r="M54" s="183">
        <f>SUM(M55:M56)</f>
        <v>0</v>
      </c>
      <c r="N54" s="30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32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32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196"/>
    </row>
    <row r="55" spans="1:59" s="195" customFormat="1" ht="37.5" x14ac:dyDescent="0.3">
      <c r="A55" s="154" t="str">
        <f t="shared" si="2"/>
        <v>п</v>
      </c>
      <c r="B55" s="155" t="s">
        <v>13</v>
      </c>
      <c r="C55" s="103"/>
      <c r="D55" s="210" t="s">
        <v>189</v>
      </c>
      <c r="E55" s="185" t="s">
        <v>190</v>
      </c>
      <c r="F55" s="186" t="s">
        <v>27</v>
      </c>
      <c r="G55" s="187" t="s">
        <v>191</v>
      </c>
      <c r="H55" s="227"/>
      <c r="I55" s="228"/>
      <c r="J55" s="229">
        <f t="shared" si="3"/>
        <v>12459.5</v>
      </c>
      <c r="K55" s="230">
        <f>54200-40405-1335.5</f>
        <v>12459.5</v>
      </c>
      <c r="L55" s="231"/>
      <c r="M55" s="231"/>
      <c r="N55" s="30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2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2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196"/>
    </row>
    <row r="56" spans="1:59" s="195" customFormat="1" ht="24" customHeight="1" thickBot="1" x14ac:dyDescent="0.35">
      <c r="A56" s="154" t="str">
        <f t="shared" si="2"/>
        <v>п</v>
      </c>
      <c r="B56" s="155" t="s">
        <v>13</v>
      </c>
      <c r="C56" s="103"/>
      <c r="D56" s="210" t="s">
        <v>197</v>
      </c>
      <c r="E56" s="185" t="s">
        <v>196</v>
      </c>
      <c r="F56" s="186" t="s">
        <v>27</v>
      </c>
      <c r="G56" s="187" t="s">
        <v>198</v>
      </c>
      <c r="H56" s="227"/>
      <c r="I56" s="228"/>
      <c r="J56" s="229">
        <f t="shared" si="3"/>
        <v>40000</v>
      </c>
      <c r="K56" s="230">
        <f>128406-85591-2815</f>
        <v>40000</v>
      </c>
      <c r="L56" s="231"/>
      <c r="M56" s="231"/>
      <c r="N56" s="30">
        <f>SUM(O56:W56)</f>
        <v>0</v>
      </c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2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2">
        <f>Y56+N56</f>
        <v>0</v>
      </c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196"/>
    </row>
    <row r="57" spans="1:59" s="195" customFormat="1" ht="83.25" customHeight="1" x14ac:dyDescent="0.3">
      <c r="A57" s="154" t="str">
        <f t="shared" si="2"/>
        <v>п</v>
      </c>
      <c r="B57" s="155"/>
      <c r="C57" s="28"/>
      <c r="D57" s="170"/>
      <c r="E57" s="169"/>
      <c r="F57" s="170"/>
      <c r="G57" s="171"/>
      <c r="H57" s="172" t="s">
        <v>24</v>
      </c>
      <c r="I57" s="173" t="s">
        <v>133</v>
      </c>
      <c r="J57" s="174">
        <f t="shared" si="3"/>
        <v>283869</v>
      </c>
      <c r="K57" s="175">
        <f>+K58+K66</f>
        <v>283869</v>
      </c>
      <c r="L57" s="175">
        <f>+L58</f>
        <v>0</v>
      </c>
      <c r="M57" s="175">
        <f>+M58</f>
        <v>0</v>
      </c>
      <c r="N57" s="30">
        <f>SUM(O57:W57)</f>
        <v>0</v>
      </c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2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2">
        <f>Y57+N57</f>
        <v>0</v>
      </c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196"/>
    </row>
    <row r="58" spans="1:59" s="197" customFormat="1" ht="39" x14ac:dyDescent="0.3">
      <c r="A58" s="154" t="str">
        <f t="shared" si="2"/>
        <v>п</v>
      </c>
      <c r="B58" s="155" t="s">
        <v>13</v>
      </c>
      <c r="C58" s="103"/>
      <c r="D58" s="223" t="s">
        <v>165</v>
      </c>
      <c r="E58" s="198"/>
      <c r="F58" s="198"/>
      <c r="G58" s="199" t="s">
        <v>294</v>
      </c>
      <c r="H58" s="180"/>
      <c r="I58" s="181"/>
      <c r="J58" s="182">
        <f t="shared" si="3"/>
        <v>281619</v>
      </c>
      <c r="K58" s="183">
        <f>K59</f>
        <v>281619</v>
      </c>
      <c r="L58" s="183">
        <f>L59</f>
        <v>0</v>
      </c>
      <c r="M58" s="183">
        <f>M59</f>
        <v>0</v>
      </c>
      <c r="N58" s="30">
        <f>SUM(O58:W58)</f>
        <v>0</v>
      </c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32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32">
        <f>Y58+N58</f>
        <v>0</v>
      </c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196"/>
    </row>
    <row r="59" spans="1:59" s="197" customFormat="1" ht="39" x14ac:dyDescent="0.3">
      <c r="A59" s="154" t="str">
        <f t="shared" si="2"/>
        <v>п</v>
      </c>
      <c r="B59" s="155" t="s">
        <v>13</v>
      </c>
      <c r="C59" s="103"/>
      <c r="D59" s="223" t="s">
        <v>166</v>
      </c>
      <c r="E59" s="198"/>
      <c r="F59" s="198"/>
      <c r="G59" s="199" t="s">
        <v>294</v>
      </c>
      <c r="H59" s="224"/>
      <c r="I59" s="225"/>
      <c r="J59" s="226">
        <f t="shared" si="3"/>
        <v>281619</v>
      </c>
      <c r="K59" s="183">
        <f>SUM(K60:K65)-K64</f>
        <v>281619</v>
      </c>
      <c r="L59" s="183">
        <f t="shared" ref="L59:M59" si="13">SUM(L60:L65)-L64</f>
        <v>0</v>
      </c>
      <c r="M59" s="183">
        <f t="shared" si="13"/>
        <v>0</v>
      </c>
      <c r="N59" s="30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32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32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196"/>
    </row>
    <row r="60" spans="1:59" s="195" customFormat="1" ht="37.5" x14ac:dyDescent="0.3">
      <c r="A60" s="154" t="str">
        <f t="shared" si="2"/>
        <v>п</v>
      </c>
      <c r="B60" s="155" t="s">
        <v>13</v>
      </c>
      <c r="C60" s="103" t="s">
        <v>14</v>
      </c>
      <c r="D60" s="210" t="s">
        <v>290</v>
      </c>
      <c r="E60" s="185" t="s">
        <v>45</v>
      </c>
      <c r="F60" s="186" t="s">
        <v>152</v>
      </c>
      <c r="G60" s="187" t="s">
        <v>163</v>
      </c>
      <c r="H60" s="227"/>
      <c r="I60" s="228"/>
      <c r="J60" s="229">
        <f t="shared" si="3"/>
        <v>61200</v>
      </c>
      <c r="K60" s="230">
        <f>94200-2250-30750</f>
        <v>61200</v>
      </c>
      <c r="L60" s="230"/>
      <c r="M60" s="230"/>
      <c r="N60" s="30">
        <f>SUM(O60:W60)</f>
        <v>0</v>
      </c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2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2">
        <f>Y60+N60</f>
        <v>0</v>
      </c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196"/>
    </row>
    <row r="61" spans="1:59" s="195" customFormat="1" ht="37.5" x14ac:dyDescent="0.3">
      <c r="A61" s="154" t="str">
        <f>IF(J61=0,"","п")</f>
        <v>п</v>
      </c>
      <c r="B61" s="155" t="s">
        <v>13</v>
      </c>
      <c r="C61" s="103"/>
      <c r="D61" s="186" t="s">
        <v>291</v>
      </c>
      <c r="E61" s="185">
        <v>5012</v>
      </c>
      <c r="F61" s="186" t="s">
        <v>152</v>
      </c>
      <c r="G61" s="187" t="s">
        <v>121</v>
      </c>
      <c r="H61" s="232"/>
      <c r="I61" s="228"/>
      <c r="J61" s="230">
        <f>+K61+L61</f>
        <v>10850</v>
      </c>
      <c r="K61" s="230">
        <f>8600+2250</f>
        <v>10850</v>
      </c>
      <c r="L61" s="231"/>
      <c r="M61" s="231"/>
      <c r="N61" s="30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2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2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196"/>
    </row>
    <row r="62" spans="1:59" s="195" customFormat="1" ht="37.5" x14ac:dyDescent="0.3">
      <c r="A62" s="154" t="str">
        <f t="shared" si="2"/>
        <v>п</v>
      </c>
      <c r="B62" s="155" t="s">
        <v>13</v>
      </c>
      <c r="C62" s="103"/>
      <c r="D62" s="210">
        <v>1015031</v>
      </c>
      <c r="E62" s="185" t="s">
        <v>46</v>
      </c>
      <c r="F62" s="186" t="s">
        <v>152</v>
      </c>
      <c r="G62" s="187" t="s">
        <v>167</v>
      </c>
      <c r="H62" s="227"/>
      <c r="I62" s="228"/>
      <c r="J62" s="229">
        <f t="shared" si="3"/>
        <v>26794</v>
      </c>
      <c r="K62" s="230">
        <v>26794</v>
      </c>
      <c r="L62" s="230"/>
      <c r="M62" s="230"/>
      <c r="N62" s="30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2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2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196"/>
    </row>
    <row r="63" spans="1:59" s="195" customFormat="1" ht="56.25" x14ac:dyDescent="0.3">
      <c r="A63" s="154" t="str">
        <f t="shared" si="2"/>
        <v>п</v>
      </c>
      <c r="B63" s="155" t="s">
        <v>13</v>
      </c>
      <c r="C63" s="103"/>
      <c r="D63" s="210" t="s">
        <v>292</v>
      </c>
      <c r="E63" s="185" t="s">
        <v>48</v>
      </c>
      <c r="F63" s="186" t="s">
        <v>152</v>
      </c>
      <c r="G63" s="187" t="s">
        <v>49</v>
      </c>
      <c r="H63" s="227"/>
      <c r="I63" s="228"/>
      <c r="J63" s="229">
        <f t="shared" si="3"/>
        <v>20275</v>
      </c>
      <c r="K63" s="230">
        <f>31658-11383</f>
        <v>20275</v>
      </c>
      <c r="L63" s="230"/>
      <c r="M63" s="230"/>
      <c r="N63" s="30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2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2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196"/>
    </row>
    <row r="64" spans="1:59" s="87" customFormat="1" ht="49.5" hidden="1" customHeight="1" x14ac:dyDescent="0.3">
      <c r="A64" s="27" t="str">
        <f t="shared" si="2"/>
        <v/>
      </c>
      <c r="B64" s="101" t="s">
        <v>13</v>
      </c>
      <c r="C64" s="104"/>
      <c r="D64" s="463"/>
      <c r="E64" s="215"/>
      <c r="F64" s="216"/>
      <c r="G64" s="217" t="s">
        <v>22</v>
      </c>
      <c r="H64" s="240"/>
      <c r="I64" s="114"/>
      <c r="J64" s="134">
        <f t="shared" si="3"/>
        <v>0</v>
      </c>
      <c r="K64" s="91"/>
      <c r="L64" s="91"/>
      <c r="M64" s="91"/>
      <c r="N64" s="84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6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6"/>
      <c r="BG64" s="107"/>
    </row>
    <row r="65" spans="1:59" s="195" customFormat="1" ht="56.25" x14ac:dyDescent="0.3">
      <c r="A65" s="154" t="str">
        <f t="shared" si="2"/>
        <v>п</v>
      </c>
      <c r="B65" s="155" t="s">
        <v>13</v>
      </c>
      <c r="C65" s="103"/>
      <c r="D65" s="210" t="s">
        <v>293</v>
      </c>
      <c r="E65" s="185" t="s">
        <v>50</v>
      </c>
      <c r="F65" s="186" t="s">
        <v>152</v>
      </c>
      <c r="G65" s="187" t="s">
        <v>171</v>
      </c>
      <c r="H65" s="227"/>
      <c r="I65" s="228"/>
      <c r="J65" s="229">
        <f t="shared" si="3"/>
        <v>162500</v>
      </c>
      <c r="K65" s="230">
        <f>134000+28500</f>
        <v>162500</v>
      </c>
      <c r="L65" s="230"/>
      <c r="M65" s="230"/>
      <c r="N65" s="30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2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2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196"/>
    </row>
    <row r="66" spans="1:59" s="33" customFormat="1" ht="39" customHeight="1" x14ac:dyDescent="0.25">
      <c r="A66" s="27" t="str">
        <f t="shared" si="2"/>
        <v>п</v>
      </c>
      <c r="B66" s="155" t="s">
        <v>178</v>
      </c>
      <c r="C66" s="103"/>
      <c r="D66" s="177" t="s">
        <v>29</v>
      </c>
      <c r="E66" s="177"/>
      <c r="F66" s="177"/>
      <c r="G66" s="179" t="s">
        <v>3</v>
      </c>
      <c r="H66" s="180"/>
      <c r="I66" s="181"/>
      <c r="J66" s="182">
        <f t="shared" ref="J66" si="14">+K66+L66</f>
        <v>2250</v>
      </c>
      <c r="K66" s="183">
        <f>K67</f>
        <v>2250</v>
      </c>
      <c r="L66" s="183">
        <f>+L68+L70</f>
        <v>0</v>
      </c>
      <c r="M66" s="183">
        <f>+M68+M70</f>
        <v>0</v>
      </c>
      <c r="N66" s="30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2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2"/>
      <c r="BG66" s="107"/>
    </row>
    <row r="67" spans="1:59" s="33" customFormat="1" ht="46.5" customHeight="1" x14ac:dyDescent="0.25">
      <c r="A67" s="27" t="str">
        <f t="shared" si="2"/>
        <v>п</v>
      </c>
      <c r="B67" s="155" t="s">
        <v>178</v>
      </c>
      <c r="C67" s="103" t="s">
        <v>15</v>
      </c>
      <c r="D67" s="177" t="s">
        <v>28</v>
      </c>
      <c r="E67" s="177"/>
      <c r="F67" s="177"/>
      <c r="G67" s="179" t="s">
        <v>3</v>
      </c>
      <c r="H67" s="180"/>
      <c r="I67" s="181"/>
      <c r="J67" s="182">
        <f>+K67+L67</f>
        <v>2250</v>
      </c>
      <c r="K67" s="183">
        <f>SUM(K68:K70)</f>
        <v>2250</v>
      </c>
      <c r="L67" s="183">
        <f>SUM(L68:L70)</f>
        <v>0</v>
      </c>
      <c r="M67" s="183">
        <f>SUM(M68:M70)</f>
        <v>0</v>
      </c>
      <c r="N67" s="30">
        <f>SUM(O67:W67)</f>
        <v>0</v>
      </c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2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2">
        <f>Y67+N67</f>
        <v>0</v>
      </c>
      <c r="BG67" s="107"/>
    </row>
    <row r="68" spans="1:59" s="33" customFormat="1" ht="40.5" customHeight="1" thickBot="1" x14ac:dyDescent="0.3">
      <c r="A68" s="27" t="str">
        <f t="shared" si="2"/>
        <v>п</v>
      </c>
      <c r="B68" s="155" t="s">
        <v>178</v>
      </c>
      <c r="C68" s="103"/>
      <c r="D68" s="210" t="s">
        <v>296</v>
      </c>
      <c r="E68" s="185" t="s">
        <v>45</v>
      </c>
      <c r="F68" s="186" t="s">
        <v>152</v>
      </c>
      <c r="G68" s="187" t="s">
        <v>163</v>
      </c>
      <c r="H68" s="227"/>
      <c r="I68" s="228"/>
      <c r="J68" s="229">
        <f t="shared" ref="J68" si="15">+K68+L68</f>
        <v>2250</v>
      </c>
      <c r="K68" s="230">
        <v>2250</v>
      </c>
      <c r="L68" s="40"/>
      <c r="M68" s="40"/>
      <c r="N68" s="30">
        <f>SUM(O68:W68)</f>
        <v>0</v>
      </c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2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2">
        <f>Y68+N68</f>
        <v>0</v>
      </c>
      <c r="BG68" s="107"/>
    </row>
    <row r="69" spans="1:59" s="33" customFormat="1" ht="30.75" hidden="1" customHeight="1" x14ac:dyDescent="0.3">
      <c r="A69" s="27" t="str">
        <f t="shared" si="2"/>
        <v/>
      </c>
      <c r="B69" s="28" t="s">
        <v>178</v>
      </c>
      <c r="C69" s="103"/>
      <c r="D69" s="209"/>
      <c r="E69" s="208"/>
      <c r="F69" s="209"/>
      <c r="G69" s="442"/>
      <c r="H69" s="232"/>
      <c r="I69" s="112"/>
      <c r="J69" s="41">
        <f t="shared" si="3"/>
        <v>0</v>
      </c>
      <c r="K69" s="41"/>
      <c r="L69" s="40"/>
      <c r="M69" s="40"/>
      <c r="N69" s="30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2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2"/>
      <c r="BG69" s="107"/>
    </row>
    <row r="70" spans="1:59" s="33" customFormat="1" ht="54" hidden="1" customHeight="1" thickBot="1" x14ac:dyDescent="0.3">
      <c r="A70" s="27" t="str">
        <f t="shared" si="2"/>
        <v/>
      </c>
      <c r="B70" s="28" t="s">
        <v>178</v>
      </c>
      <c r="C70" s="103" t="s">
        <v>16</v>
      </c>
      <c r="D70" s="253"/>
      <c r="E70" s="251"/>
      <c r="F70" s="253"/>
      <c r="G70" s="254"/>
      <c r="H70" s="252"/>
      <c r="I70" s="113"/>
      <c r="J70" s="43">
        <f t="shared" si="3"/>
        <v>0</v>
      </c>
      <c r="K70" s="43"/>
      <c r="L70" s="42"/>
      <c r="M70" s="42"/>
      <c r="N70" s="30">
        <f>SUM(O70:W70)</f>
        <v>0</v>
      </c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2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2">
        <f>Y70+N70</f>
        <v>0</v>
      </c>
      <c r="BG70" s="107"/>
    </row>
    <row r="71" spans="1:59" s="197" customFormat="1" ht="98.25" customHeight="1" x14ac:dyDescent="0.3">
      <c r="A71" s="154" t="str">
        <f t="shared" si="2"/>
        <v>п</v>
      </c>
      <c r="B71" s="155"/>
      <c r="C71" s="28"/>
      <c r="D71" s="234"/>
      <c r="E71" s="171"/>
      <c r="F71" s="234"/>
      <c r="G71" s="171"/>
      <c r="H71" s="235" t="s">
        <v>325</v>
      </c>
      <c r="I71" s="173" t="s">
        <v>267</v>
      </c>
      <c r="J71" s="174">
        <f t="shared" si="3"/>
        <v>1857917.9999999998</v>
      </c>
      <c r="K71" s="175">
        <f t="shared" ref="K71:M72" si="16">K72</f>
        <v>111254</v>
      </c>
      <c r="L71" s="175">
        <f t="shared" si="16"/>
        <v>1746663.9999999998</v>
      </c>
      <c r="M71" s="175">
        <f t="shared" si="16"/>
        <v>1746663.9999999998</v>
      </c>
      <c r="N71" s="30">
        <f>SUM(O71:W71)</f>
        <v>0</v>
      </c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2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2">
        <f>Y71+N71</f>
        <v>0</v>
      </c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196"/>
    </row>
    <row r="72" spans="1:59" s="237" customFormat="1" ht="19.5" x14ac:dyDescent="0.35">
      <c r="A72" s="154" t="str">
        <f t="shared" si="2"/>
        <v>п</v>
      </c>
      <c r="B72" s="155" t="s">
        <v>178</v>
      </c>
      <c r="C72" s="103"/>
      <c r="D72" s="177" t="s">
        <v>29</v>
      </c>
      <c r="E72" s="177"/>
      <c r="F72" s="177"/>
      <c r="G72" s="179" t="s">
        <v>3</v>
      </c>
      <c r="H72" s="180"/>
      <c r="I72" s="181"/>
      <c r="J72" s="182">
        <f>+K72+L72</f>
        <v>1857917.9999999998</v>
      </c>
      <c r="K72" s="183">
        <f t="shared" si="16"/>
        <v>111254</v>
      </c>
      <c r="L72" s="183">
        <f t="shared" si="16"/>
        <v>1746663.9999999998</v>
      </c>
      <c r="M72" s="183">
        <f t="shared" si="16"/>
        <v>1746663.9999999998</v>
      </c>
      <c r="N72" s="30">
        <f>SUM(O72:W72)</f>
        <v>0</v>
      </c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32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32">
        <f>Y72+N72</f>
        <v>0</v>
      </c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196"/>
    </row>
    <row r="73" spans="1:59" s="237" customFormat="1" ht="19.5" x14ac:dyDescent="0.35">
      <c r="A73" s="154" t="str">
        <f t="shared" si="2"/>
        <v>п</v>
      </c>
      <c r="B73" s="155" t="s">
        <v>178</v>
      </c>
      <c r="C73" s="103"/>
      <c r="D73" s="177" t="s">
        <v>28</v>
      </c>
      <c r="E73" s="177"/>
      <c r="F73" s="177"/>
      <c r="G73" s="179" t="s">
        <v>3</v>
      </c>
      <c r="H73" s="180"/>
      <c r="I73" s="181"/>
      <c r="J73" s="182">
        <f>+K73+L73</f>
        <v>1857917.9999999998</v>
      </c>
      <c r="K73" s="183">
        <f>SUM(K74:K78)-K78</f>
        <v>111254</v>
      </c>
      <c r="L73" s="183">
        <f>SUM(L74:L78)-L78</f>
        <v>1746663.9999999998</v>
      </c>
      <c r="M73" s="183">
        <f>SUM(M74:M78)-M78</f>
        <v>1746663.9999999998</v>
      </c>
      <c r="N73" s="30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32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32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196"/>
    </row>
    <row r="74" spans="1:59" s="195" customFormat="1" ht="37.5" x14ac:dyDescent="0.3">
      <c r="A74" s="154" t="str">
        <f t="shared" si="2"/>
        <v>п</v>
      </c>
      <c r="B74" s="155" t="s">
        <v>178</v>
      </c>
      <c r="C74" s="103"/>
      <c r="D74" s="210" t="s">
        <v>51</v>
      </c>
      <c r="E74" s="185" t="s">
        <v>52</v>
      </c>
      <c r="F74" s="210" t="s">
        <v>160</v>
      </c>
      <c r="G74" s="187" t="s">
        <v>164</v>
      </c>
      <c r="H74" s="188"/>
      <c r="I74" s="189"/>
      <c r="J74" s="190">
        <f t="shared" si="3"/>
        <v>30532</v>
      </c>
      <c r="K74" s="191">
        <f>103754-16222-57000</f>
        <v>30532</v>
      </c>
      <c r="L74" s="191"/>
      <c r="M74" s="191"/>
      <c r="N74" s="30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2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2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196"/>
    </row>
    <row r="75" spans="1:59" s="195" customFormat="1" ht="27.75" customHeight="1" x14ac:dyDescent="0.3">
      <c r="A75" s="154" t="str">
        <f t="shared" ref="A75" si="17">IF(J75=0,"","п")</f>
        <v>п</v>
      </c>
      <c r="B75" s="155" t="s">
        <v>178</v>
      </c>
      <c r="C75" s="103"/>
      <c r="D75" s="368" t="s">
        <v>77</v>
      </c>
      <c r="E75" s="208">
        <v>9770</v>
      </c>
      <c r="F75" s="368" t="s">
        <v>156</v>
      </c>
      <c r="G75" s="442" t="s">
        <v>79</v>
      </c>
      <c r="H75" s="227"/>
      <c r="I75" s="228"/>
      <c r="J75" s="190">
        <f t="shared" si="3"/>
        <v>57000</v>
      </c>
      <c r="K75" s="230">
        <v>57000</v>
      </c>
      <c r="L75" s="230"/>
      <c r="M75" s="230"/>
      <c r="N75" s="30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2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2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196"/>
    </row>
    <row r="76" spans="1:59" s="195" customFormat="1" ht="80.25" customHeight="1" x14ac:dyDescent="0.3">
      <c r="A76" s="154" t="str">
        <f t="shared" si="2"/>
        <v>п</v>
      </c>
      <c r="B76" s="155" t="s">
        <v>178</v>
      </c>
      <c r="C76" s="103"/>
      <c r="D76" s="209" t="s">
        <v>216</v>
      </c>
      <c r="E76" s="208">
        <v>3111</v>
      </c>
      <c r="F76" s="209" t="s">
        <v>160</v>
      </c>
      <c r="G76" s="236" t="s">
        <v>289</v>
      </c>
      <c r="H76" s="227"/>
      <c r="I76" s="228"/>
      <c r="J76" s="190">
        <f t="shared" si="3"/>
        <v>23722</v>
      </c>
      <c r="K76" s="230">
        <f>7500+16222</f>
        <v>23722</v>
      </c>
      <c r="L76" s="230"/>
      <c r="M76" s="230"/>
      <c r="N76" s="30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2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2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196"/>
    </row>
    <row r="77" spans="1:59" s="195" customFormat="1" ht="98.25" customHeight="1" x14ac:dyDescent="0.3">
      <c r="A77" s="154" t="str">
        <f t="shared" ref="A77" si="18">IF(J77=0,"","п")</f>
        <v>п</v>
      </c>
      <c r="B77" s="155" t="s">
        <v>178</v>
      </c>
      <c r="C77" s="103"/>
      <c r="D77" s="209" t="s">
        <v>334</v>
      </c>
      <c r="E77" s="208">
        <v>6083</v>
      </c>
      <c r="F77" s="209" t="s">
        <v>131</v>
      </c>
      <c r="G77" s="236" t="s">
        <v>335</v>
      </c>
      <c r="H77" s="227"/>
      <c r="I77" s="228"/>
      <c r="J77" s="190">
        <f t="shared" ref="J77:J78" si="19">+K77+L77</f>
        <v>1746664</v>
      </c>
      <c r="K77" s="230"/>
      <c r="L77" s="230">
        <f>1222664.8+130999.8+392999.4</f>
        <v>1746664</v>
      </c>
      <c r="M77" s="230">
        <f>1222664.8+130999.8+392999.4</f>
        <v>1746664</v>
      </c>
      <c r="N77" s="30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2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2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196"/>
    </row>
    <row r="78" spans="1:59" s="500" customFormat="1" ht="24" customHeight="1" thickBot="1" x14ac:dyDescent="0.3">
      <c r="A78" s="154" t="str">
        <f t="shared" ref="A78" si="20">IF(J78=0,"","п")</f>
        <v>п</v>
      </c>
      <c r="B78" s="155" t="s">
        <v>178</v>
      </c>
      <c r="C78" s="491"/>
      <c r="D78" s="492"/>
      <c r="E78" s="493"/>
      <c r="F78" s="493"/>
      <c r="G78" s="494" t="s">
        <v>22</v>
      </c>
      <c r="H78" s="495"/>
      <c r="I78" s="496"/>
      <c r="J78" s="506">
        <f t="shared" si="19"/>
        <v>1222664.8</v>
      </c>
      <c r="K78" s="506"/>
      <c r="L78" s="506">
        <v>1222664.8</v>
      </c>
      <c r="M78" s="506">
        <v>1222664.8</v>
      </c>
      <c r="N78" s="497">
        <f>SUM(O78:W78)</f>
        <v>0</v>
      </c>
      <c r="O78" s="498"/>
      <c r="P78" s="498"/>
      <c r="Q78" s="498"/>
      <c r="R78" s="498"/>
      <c r="S78" s="498"/>
      <c r="T78" s="498"/>
      <c r="U78" s="498"/>
      <c r="V78" s="498"/>
      <c r="W78" s="498"/>
      <c r="X78" s="498"/>
      <c r="Y78" s="499"/>
      <c r="Z78" s="498"/>
      <c r="AA78" s="498"/>
      <c r="AB78" s="498"/>
      <c r="AC78" s="498"/>
      <c r="AD78" s="498"/>
      <c r="AE78" s="498"/>
      <c r="AF78" s="498"/>
      <c r="AG78" s="498"/>
      <c r="AH78" s="498"/>
      <c r="AI78" s="498"/>
      <c r="AJ78" s="498"/>
      <c r="AK78" s="499">
        <f>Y78+N78</f>
        <v>0</v>
      </c>
      <c r="BG78" s="501"/>
    </row>
    <row r="79" spans="1:59" s="195" customFormat="1" ht="42.75" customHeight="1" x14ac:dyDescent="0.3">
      <c r="A79" s="154" t="str">
        <f t="shared" si="2"/>
        <v>п</v>
      </c>
      <c r="B79" s="155"/>
      <c r="C79" s="28"/>
      <c r="D79" s="170"/>
      <c r="E79" s="169"/>
      <c r="F79" s="170"/>
      <c r="G79" s="171"/>
      <c r="H79" s="172" t="s">
        <v>268</v>
      </c>
      <c r="I79" s="238" t="s">
        <v>286</v>
      </c>
      <c r="J79" s="174">
        <f>+K79+L79</f>
        <v>21161790.210000001</v>
      </c>
      <c r="K79" s="175">
        <f>+K80+K109</f>
        <v>10635155.960000001</v>
      </c>
      <c r="L79" s="176">
        <f>+L80+L109</f>
        <v>10526634.25</v>
      </c>
      <c r="M79" s="176">
        <f>+M80+M109</f>
        <v>10526634.25</v>
      </c>
      <c r="N79" s="30">
        <f>SUM(O79:W79)</f>
        <v>0</v>
      </c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2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2">
        <f>Y79+N79</f>
        <v>0</v>
      </c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196"/>
    </row>
    <row r="80" spans="1:59" s="197" customFormat="1" ht="39" x14ac:dyDescent="0.3">
      <c r="A80" s="154" t="str">
        <f t="shared" si="2"/>
        <v>п</v>
      </c>
      <c r="B80" s="155" t="s">
        <v>180</v>
      </c>
      <c r="C80" s="28"/>
      <c r="D80" s="177" t="s">
        <v>55</v>
      </c>
      <c r="E80" s="178"/>
      <c r="F80" s="178"/>
      <c r="G80" s="179" t="s">
        <v>2</v>
      </c>
      <c r="H80" s="180"/>
      <c r="I80" s="181"/>
      <c r="J80" s="182">
        <f>+K80+L80</f>
        <v>21161790.210000001</v>
      </c>
      <c r="K80" s="183">
        <f>K81</f>
        <v>10635155.960000001</v>
      </c>
      <c r="L80" s="183">
        <f>L81</f>
        <v>10526634.25</v>
      </c>
      <c r="M80" s="183">
        <f>M81</f>
        <v>10526634.25</v>
      </c>
      <c r="N80" s="30">
        <f>SUM(O80:W80)</f>
        <v>0</v>
      </c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32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32">
        <f>Y80+N80</f>
        <v>0</v>
      </c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196"/>
    </row>
    <row r="81" spans="1:59" s="197" customFormat="1" ht="39" x14ac:dyDescent="0.3">
      <c r="A81" s="154" t="str">
        <f t="shared" si="2"/>
        <v>п</v>
      </c>
      <c r="B81" s="155" t="s">
        <v>180</v>
      </c>
      <c r="C81" s="28"/>
      <c r="D81" s="177" t="s">
        <v>56</v>
      </c>
      <c r="E81" s="178"/>
      <c r="F81" s="178"/>
      <c r="G81" s="179" t="s">
        <v>2</v>
      </c>
      <c r="H81" s="180"/>
      <c r="I81" s="181"/>
      <c r="J81" s="182">
        <f>+K81+L81</f>
        <v>21161790.210000001</v>
      </c>
      <c r="K81" s="183">
        <f>SUM(K82:K108)-K87-K88-K97-K84-K108-K93-K85-K89-K91</f>
        <v>10635155.960000001</v>
      </c>
      <c r="L81" s="183">
        <f t="shared" ref="L81:M81" si="21">SUM(L82:L108)-L87-L88-L97-L84-L108-L93-L85-L89-L91</f>
        <v>10526634.25</v>
      </c>
      <c r="M81" s="183">
        <f t="shared" si="21"/>
        <v>10526634.25</v>
      </c>
      <c r="N81" s="30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32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32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196"/>
    </row>
    <row r="82" spans="1:59" s="33" customFormat="1" ht="56.25" hidden="1" x14ac:dyDescent="0.25">
      <c r="A82" s="27" t="str">
        <f t="shared" si="2"/>
        <v/>
      </c>
      <c r="B82" s="28" t="s">
        <v>180</v>
      </c>
      <c r="C82" s="28"/>
      <c r="D82" s="210" t="s">
        <v>135</v>
      </c>
      <c r="E82" s="185" t="s">
        <v>92</v>
      </c>
      <c r="F82" s="186" t="s">
        <v>93</v>
      </c>
      <c r="G82" s="187" t="s">
        <v>94</v>
      </c>
      <c r="H82" s="227"/>
      <c r="I82" s="112"/>
      <c r="J82" s="133">
        <f t="shared" ref="J82:J142" si="22">+K82+L82</f>
        <v>0</v>
      </c>
      <c r="K82" s="41"/>
      <c r="L82" s="41"/>
      <c r="M82" s="41"/>
      <c r="N82" s="30">
        <f>SUM(O82:W82)</f>
        <v>0</v>
      </c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2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2">
        <f>Y82+N82</f>
        <v>0</v>
      </c>
      <c r="BG82" s="107"/>
    </row>
    <row r="83" spans="1:59" s="195" customFormat="1" x14ac:dyDescent="0.3">
      <c r="A83" s="154" t="str">
        <f>IF(J83=0,"","п")</f>
        <v>п</v>
      </c>
      <c r="B83" s="155" t="s">
        <v>180</v>
      </c>
      <c r="C83" s="28"/>
      <c r="D83" s="210" t="s">
        <v>57</v>
      </c>
      <c r="E83" s="185">
        <v>1010</v>
      </c>
      <c r="F83" s="186" t="s">
        <v>157</v>
      </c>
      <c r="G83" s="187" t="s">
        <v>58</v>
      </c>
      <c r="H83" s="227"/>
      <c r="I83" s="228"/>
      <c r="J83" s="229">
        <f>+K83+L83</f>
        <v>564699</v>
      </c>
      <c r="K83" s="230">
        <f>301184+220000</f>
        <v>521184</v>
      </c>
      <c r="L83" s="230">
        <v>43515</v>
      </c>
      <c r="M83" s="230">
        <v>43515</v>
      </c>
      <c r="N83" s="30">
        <f>SUM(O83:W83)</f>
        <v>0</v>
      </c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2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2">
        <f>Y83+N83</f>
        <v>0</v>
      </c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196"/>
    </row>
    <row r="84" spans="1:59" s="87" customFormat="1" ht="44.25" customHeight="1" x14ac:dyDescent="0.3">
      <c r="A84" s="27" t="str">
        <f t="shared" si="2"/>
        <v>п</v>
      </c>
      <c r="B84" s="155" t="s">
        <v>180</v>
      </c>
      <c r="C84" s="101"/>
      <c r="D84" s="463"/>
      <c r="E84" s="215"/>
      <c r="F84" s="216"/>
      <c r="G84" s="239" t="s">
        <v>22</v>
      </c>
      <c r="H84" s="240"/>
      <c r="I84" s="241"/>
      <c r="J84" s="242">
        <f t="shared" si="22"/>
        <v>220000</v>
      </c>
      <c r="K84" s="243">
        <v>220000</v>
      </c>
      <c r="L84" s="41"/>
      <c r="M84" s="41"/>
      <c r="N84" s="84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6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6"/>
      <c r="BG84" s="107"/>
    </row>
    <row r="85" spans="1:59" s="233" customFormat="1" ht="37.5" x14ac:dyDescent="0.3">
      <c r="A85" s="154" t="str">
        <f>IF(J85=0,"","п")</f>
        <v>п</v>
      </c>
      <c r="B85" s="155" t="s">
        <v>180</v>
      </c>
      <c r="C85" s="101"/>
      <c r="D85" s="463"/>
      <c r="E85" s="215"/>
      <c r="F85" s="216"/>
      <c r="G85" s="239" t="s">
        <v>272</v>
      </c>
      <c r="H85" s="240"/>
      <c r="I85" s="241"/>
      <c r="J85" s="242">
        <f>+K85+L85</f>
        <v>301184</v>
      </c>
      <c r="K85" s="243">
        <v>301184</v>
      </c>
      <c r="L85" s="230"/>
      <c r="M85" s="230"/>
      <c r="N85" s="84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6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6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196"/>
    </row>
    <row r="86" spans="1:59" s="195" customFormat="1" ht="37.5" x14ac:dyDescent="0.3">
      <c r="A86" s="154" t="str">
        <f t="shared" si="2"/>
        <v>п</v>
      </c>
      <c r="B86" s="155" t="s">
        <v>180</v>
      </c>
      <c r="C86" s="28"/>
      <c r="D86" s="210" t="s">
        <v>274</v>
      </c>
      <c r="E86" s="185">
        <v>1021</v>
      </c>
      <c r="F86" s="186" t="s">
        <v>158</v>
      </c>
      <c r="G86" s="187" t="s">
        <v>276</v>
      </c>
      <c r="H86" s="227"/>
      <c r="I86" s="228"/>
      <c r="J86" s="229">
        <f t="shared" si="22"/>
        <v>7248677</v>
      </c>
      <c r="K86" s="230">
        <f>5748163+698816+921602-164178</f>
        <v>7204403</v>
      </c>
      <c r="L86" s="230">
        <v>44274</v>
      </c>
      <c r="M86" s="230">
        <v>44274</v>
      </c>
      <c r="N86" s="30">
        <f>SUM(O86:W86)</f>
        <v>0</v>
      </c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2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2">
        <f>Y86+N86</f>
        <v>0</v>
      </c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196"/>
    </row>
    <row r="87" spans="1:59" s="87" customFormat="1" ht="37.5" hidden="1" x14ac:dyDescent="0.3">
      <c r="A87" s="27" t="str">
        <f t="shared" si="2"/>
        <v/>
      </c>
      <c r="B87" s="28" t="s">
        <v>180</v>
      </c>
      <c r="C87" s="28"/>
      <c r="D87" s="463"/>
      <c r="E87" s="215"/>
      <c r="F87" s="216"/>
      <c r="G87" s="239" t="s">
        <v>25</v>
      </c>
      <c r="H87" s="244"/>
      <c r="I87" s="114"/>
      <c r="J87" s="91">
        <f t="shared" si="22"/>
        <v>0</v>
      </c>
      <c r="K87" s="91"/>
      <c r="L87" s="91"/>
      <c r="M87" s="91"/>
      <c r="N87" s="30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2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2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107"/>
    </row>
    <row r="88" spans="1:59" s="87" customFormat="1" hidden="1" x14ac:dyDescent="0.3">
      <c r="A88" s="27" t="str">
        <f t="shared" si="2"/>
        <v/>
      </c>
      <c r="B88" s="28" t="s">
        <v>180</v>
      </c>
      <c r="C88" s="101"/>
      <c r="D88" s="463"/>
      <c r="E88" s="215"/>
      <c r="F88" s="216"/>
      <c r="G88" s="239" t="s">
        <v>22</v>
      </c>
      <c r="H88" s="240"/>
      <c r="I88" s="114"/>
      <c r="J88" s="134">
        <f t="shared" si="22"/>
        <v>0</v>
      </c>
      <c r="K88" s="147"/>
      <c r="L88" s="91"/>
      <c r="M88" s="91"/>
      <c r="N88" s="84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6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6"/>
      <c r="BG88" s="107"/>
    </row>
    <row r="89" spans="1:59" s="233" customFormat="1" ht="37.5" x14ac:dyDescent="0.3">
      <c r="A89" s="154" t="str">
        <f t="shared" si="2"/>
        <v>п</v>
      </c>
      <c r="B89" s="155" t="s">
        <v>180</v>
      </c>
      <c r="C89" s="101"/>
      <c r="D89" s="463"/>
      <c r="E89" s="215"/>
      <c r="F89" s="216"/>
      <c r="G89" s="239" t="s">
        <v>297</v>
      </c>
      <c r="H89" s="240"/>
      <c r="I89" s="241"/>
      <c r="J89" s="242">
        <f t="shared" si="22"/>
        <v>698816</v>
      </c>
      <c r="K89" s="243">
        <v>698816</v>
      </c>
      <c r="L89" s="230"/>
      <c r="M89" s="230"/>
      <c r="N89" s="84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6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6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196"/>
    </row>
    <row r="90" spans="1:59" s="233" customFormat="1" ht="37.5" x14ac:dyDescent="0.3">
      <c r="A90" s="154" t="str">
        <f t="shared" ref="A90:A91" si="23">IF(J90=0,"","п")</f>
        <v>п</v>
      </c>
      <c r="B90" s="155" t="s">
        <v>180</v>
      </c>
      <c r="C90" s="101"/>
      <c r="D90" s="210" t="s">
        <v>312</v>
      </c>
      <c r="E90" s="185">
        <v>1061</v>
      </c>
      <c r="F90" s="186" t="s">
        <v>158</v>
      </c>
      <c r="G90" s="187" t="s">
        <v>276</v>
      </c>
      <c r="H90" s="227"/>
      <c r="I90" s="228"/>
      <c r="J90" s="242">
        <f t="shared" si="22"/>
        <v>9186306.25</v>
      </c>
      <c r="K90" s="230">
        <f>1297991+199970+532055-2030016</f>
        <v>0</v>
      </c>
      <c r="L90" s="230">
        <f>84004+6009795+192384+628000+242107.25+2030016</f>
        <v>9186306.25</v>
      </c>
      <c r="M90" s="230">
        <f>84004+6009795+192384+628000+242107.25+2030016</f>
        <v>9186306.25</v>
      </c>
      <c r="N90" s="84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6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6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196"/>
    </row>
    <row r="91" spans="1:59" s="233" customFormat="1" ht="37.5" x14ac:dyDescent="0.3">
      <c r="A91" s="453" t="str">
        <f t="shared" si="23"/>
        <v>п</v>
      </c>
      <c r="B91" s="454" t="s">
        <v>180</v>
      </c>
      <c r="C91" s="455"/>
      <c r="D91" s="463"/>
      <c r="E91" s="215"/>
      <c r="F91" s="216"/>
      <c r="G91" s="239" t="s">
        <v>313</v>
      </c>
      <c r="H91" s="240"/>
      <c r="I91" s="241"/>
      <c r="J91" s="242">
        <f t="shared" si="22"/>
        <v>9186306.25</v>
      </c>
      <c r="K91" s="243">
        <f>2030016-2030016</f>
        <v>0</v>
      </c>
      <c r="L91" s="243">
        <f>7156290.25+2030016</f>
        <v>9186306.25</v>
      </c>
      <c r="M91" s="243">
        <f>7156290.25+2030016</f>
        <v>9186306.25</v>
      </c>
      <c r="N91" s="106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456"/>
    </row>
    <row r="92" spans="1:59" s="195" customFormat="1" ht="48" customHeight="1" x14ac:dyDescent="0.3">
      <c r="A92" s="154" t="str">
        <f t="shared" si="2"/>
        <v>п</v>
      </c>
      <c r="B92" s="155" t="s">
        <v>180</v>
      </c>
      <c r="C92" s="155"/>
      <c r="D92" s="210" t="s">
        <v>277</v>
      </c>
      <c r="E92" s="185">
        <v>1070</v>
      </c>
      <c r="F92" s="186" t="s">
        <v>123</v>
      </c>
      <c r="G92" s="187" t="s">
        <v>124</v>
      </c>
      <c r="H92" s="227"/>
      <c r="I92" s="228"/>
      <c r="J92" s="229">
        <f t="shared" si="22"/>
        <v>171863</v>
      </c>
      <c r="K92" s="230"/>
      <c r="L92" s="230">
        <f>49400+122463</f>
        <v>171863</v>
      </c>
      <c r="M92" s="230">
        <f>49400+122463</f>
        <v>171863</v>
      </c>
      <c r="N92" s="382"/>
      <c r="O92" s="432"/>
      <c r="P92" s="432"/>
      <c r="Q92" s="432"/>
      <c r="R92" s="432"/>
      <c r="S92" s="432"/>
      <c r="T92" s="432"/>
      <c r="U92" s="432"/>
      <c r="V92" s="432"/>
      <c r="W92" s="432"/>
      <c r="X92" s="432"/>
      <c r="Y92" s="383"/>
      <c r="Z92" s="432"/>
      <c r="AA92" s="432"/>
      <c r="AB92" s="432"/>
      <c r="AC92" s="432"/>
      <c r="AD92" s="432"/>
      <c r="AE92" s="432"/>
      <c r="AF92" s="432"/>
      <c r="AG92" s="432"/>
      <c r="AH92" s="432"/>
      <c r="AI92" s="432"/>
      <c r="AJ92" s="432"/>
      <c r="AK92" s="383"/>
      <c r="BG92" s="196"/>
    </row>
    <row r="93" spans="1:59" s="87" customFormat="1" ht="42.75" hidden="1" customHeight="1" x14ac:dyDescent="0.3">
      <c r="A93" s="27" t="str">
        <f t="shared" ref="A93:A181" si="24">IF(J93=0,"","п")</f>
        <v/>
      </c>
      <c r="B93" s="101" t="s">
        <v>180</v>
      </c>
      <c r="C93" s="101"/>
      <c r="D93" s="463"/>
      <c r="E93" s="215"/>
      <c r="F93" s="216"/>
      <c r="G93" s="239" t="s">
        <v>22</v>
      </c>
      <c r="H93" s="240"/>
      <c r="I93" s="114"/>
      <c r="J93" s="134">
        <f t="shared" si="22"/>
        <v>0</v>
      </c>
      <c r="K93" s="91"/>
      <c r="L93" s="91"/>
      <c r="M93" s="91"/>
      <c r="N93" s="84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6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6"/>
      <c r="BG93" s="107"/>
    </row>
    <row r="94" spans="1:59" s="195" customFormat="1" ht="77.25" customHeight="1" x14ac:dyDescent="0.3">
      <c r="A94" s="154" t="str">
        <f>IF(J94=0,"","п")</f>
        <v>п</v>
      </c>
      <c r="B94" s="155" t="s">
        <v>180</v>
      </c>
      <c r="C94" s="28"/>
      <c r="D94" s="210" t="s">
        <v>281</v>
      </c>
      <c r="E94" s="185">
        <v>1200</v>
      </c>
      <c r="F94" s="186" t="s">
        <v>194</v>
      </c>
      <c r="G94" s="187" t="s">
        <v>282</v>
      </c>
      <c r="H94" s="227"/>
      <c r="I94" s="228"/>
      <c r="J94" s="229">
        <f>+K94+L94</f>
        <v>1198824</v>
      </c>
      <c r="K94" s="230">
        <v>795275</v>
      </c>
      <c r="L94" s="230">
        <v>403549</v>
      </c>
      <c r="M94" s="230">
        <v>403549</v>
      </c>
      <c r="N94" s="30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2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2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196"/>
    </row>
    <row r="95" spans="1:59" s="233" customFormat="1" ht="75" x14ac:dyDescent="0.3">
      <c r="A95" s="154" t="str">
        <f t="shared" ref="A95" si="25">IF(J95=0,"","п")</f>
        <v>п</v>
      </c>
      <c r="B95" s="155" t="s">
        <v>180</v>
      </c>
      <c r="C95" s="28"/>
      <c r="D95" s="210" t="s">
        <v>308</v>
      </c>
      <c r="E95" s="185">
        <v>1210</v>
      </c>
      <c r="F95" s="186" t="s">
        <v>194</v>
      </c>
      <c r="G95" s="187" t="s">
        <v>309</v>
      </c>
      <c r="H95" s="244"/>
      <c r="I95" s="241"/>
      <c r="J95" s="230">
        <f t="shared" ref="J95:J98" si="26">+K95+L95</f>
        <v>61111</v>
      </c>
      <c r="K95" s="230"/>
      <c r="L95" s="230">
        <f>61111</f>
        <v>61111</v>
      </c>
      <c r="M95" s="230">
        <f>61111</f>
        <v>61111</v>
      </c>
      <c r="N95" s="30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2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2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196"/>
    </row>
    <row r="96" spans="1:59" s="33" customFormat="1" ht="42" hidden="1" customHeight="1" x14ac:dyDescent="0.25">
      <c r="A96" s="27" t="str">
        <f t="shared" si="24"/>
        <v/>
      </c>
      <c r="B96" s="28" t="s">
        <v>180</v>
      </c>
      <c r="C96" s="28"/>
      <c r="D96" s="210" t="s">
        <v>279</v>
      </c>
      <c r="E96" s="185">
        <v>1151</v>
      </c>
      <c r="F96" s="186" t="s">
        <v>194</v>
      </c>
      <c r="G96" s="187" t="s">
        <v>280</v>
      </c>
      <c r="H96" s="227"/>
      <c r="I96" s="112"/>
      <c r="J96" s="230">
        <f t="shared" si="26"/>
        <v>0</v>
      </c>
      <c r="K96" s="230"/>
      <c r="L96" s="230"/>
      <c r="M96" s="230"/>
      <c r="N96" s="382"/>
      <c r="O96" s="432"/>
      <c r="P96" s="432"/>
      <c r="Q96" s="39"/>
      <c r="R96" s="39"/>
      <c r="S96" s="39"/>
      <c r="T96" s="39"/>
      <c r="U96" s="39"/>
      <c r="V96" s="39"/>
      <c r="W96" s="39"/>
      <c r="X96" s="39"/>
      <c r="Y96" s="32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2"/>
      <c r="BG96" s="107"/>
    </row>
    <row r="97" spans="1:59" s="87" customFormat="1" ht="42.75" hidden="1" customHeight="1" x14ac:dyDescent="0.3">
      <c r="A97" s="27" t="str">
        <f t="shared" si="24"/>
        <v/>
      </c>
      <c r="B97" s="101" t="s">
        <v>180</v>
      </c>
      <c r="C97" s="101"/>
      <c r="D97" s="463"/>
      <c r="E97" s="215"/>
      <c r="F97" s="216"/>
      <c r="G97" s="239" t="s">
        <v>22</v>
      </c>
      <c r="H97" s="240"/>
      <c r="I97" s="114"/>
      <c r="J97" s="230">
        <f t="shared" si="26"/>
        <v>0</v>
      </c>
      <c r="K97" s="243"/>
      <c r="L97" s="243"/>
      <c r="M97" s="243"/>
      <c r="N97" s="449"/>
      <c r="O97" s="450"/>
      <c r="P97" s="450"/>
      <c r="Q97" s="88"/>
      <c r="R97" s="88"/>
      <c r="S97" s="88"/>
      <c r="T97" s="88"/>
      <c r="U97" s="88"/>
      <c r="V97" s="88"/>
      <c r="W97" s="88"/>
      <c r="X97" s="88"/>
      <c r="Y97" s="86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6"/>
      <c r="BG97" s="107"/>
    </row>
    <row r="98" spans="1:59" s="87" customFormat="1" ht="93" customHeight="1" x14ac:dyDescent="0.3">
      <c r="A98" s="27" t="str">
        <f t="shared" ref="A98:A99" si="27">IF(J98=0,"","п")</f>
        <v>п</v>
      </c>
      <c r="B98" s="212" t="s">
        <v>180</v>
      </c>
      <c r="C98" s="101"/>
      <c r="D98" s="210" t="s">
        <v>311</v>
      </c>
      <c r="E98" s="185">
        <v>1154</v>
      </c>
      <c r="F98" s="186" t="s">
        <v>194</v>
      </c>
      <c r="G98" s="187" t="s">
        <v>310</v>
      </c>
      <c r="H98" s="227"/>
      <c r="I98" s="112"/>
      <c r="J98" s="230">
        <f t="shared" si="26"/>
        <v>104657.96</v>
      </c>
      <c r="K98" s="230">
        <v>104657.96</v>
      </c>
      <c r="L98" s="230"/>
      <c r="M98" s="230"/>
      <c r="N98" s="449"/>
      <c r="O98" s="450"/>
      <c r="P98" s="450"/>
      <c r="Q98" s="88"/>
      <c r="R98" s="88"/>
      <c r="S98" s="88"/>
      <c r="T98" s="88"/>
      <c r="U98" s="88"/>
      <c r="V98" s="88"/>
      <c r="W98" s="88"/>
      <c r="X98" s="88"/>
      <c r="Y98" s="86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6"/>
      <c r="BG98" s="107"/>
    </row>
    <row r="99" spans="1:59" s="87" customFormat="1" ht="42.75" hidden="1" customHeight="1" x14ac:dyDescent="0.3">
      <c r="A99" s="27" t="str">
        <f t="shared" si="27"/>
        <v/>
      </c>
      <c r="B99" s="101" t="s">
        <v>180</v>
      </c>
      <c r="C99" s="101"/>
      <c r="D99" s="463"/>
      <c r="E99" s="215"/>
      <c r="F99" s="216"/>
      <c r="G99" s="239"/>
      <c r="H99" s="240"/>
      <c r="I99" s="114"/>
      <c r="J99" s="242"/>
      <c r="K99" s="243"/>
      <c r="L99" s="243"/>
      <c r="M99" s="243"/>
      <c r="N99" s="449"/>
      <c r="O99" s="450"/>
      <c r="P99" s="450"/>
      <c r="Q99" s="88"/>
      <c r="R99" s="88"/>
      <c r="S99" s="88"/>
      <c r="T99" s="88"/>
      <c r="U99" s="88"/>
      <c r="V99" s="88"/>
      <c r="W99" s="88"/>
      <c r="X99" s="88"/>
      <c r="Y99" s="86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6"/>
      <c r="BG99" s="107"/>
    </row>
    <row r="100" spans="1:59" s="195" customFormat="1" ht="24" customHeight="1" x14ac:dyDescent="0.3">
      <c r="A100" s="154" t="str">
        <f t="shared" si="24"/>
        <v>п</v>
      </c>
      <c r="B100" s="155" t="s">
        <v>180</v>
      </c>
      <c r="C100" s="28"/>
      <c r="D100" s="210" t="s">
        <v>278</v>
      </c>
      <c r="E100" s="185">
        <v>1142</v>
      </c>
      <c r="F100" s="186" t="s">
        <v>194</v>
      </c>
      <c r="G100" s="187" t="s">
        <v>195</v>
      </c>
      <c r="H100" s="227"/>
      <c r="I100" s="228"/>
      <c r="J100" s="229">
        <f t="shared" si="22"/>
        <v>16290</v>
      </c>
      <c r="K100" s="230">
        <v>16290</v>
      </c>
      <c r="L100" s="230"/>
      <c r="M100" s="230"/>
      <c r="N100" s="382"/>
      <c r="O100" s="432"/>
      <c r="P100" s="432"/>
      <c r="Q100" s="39"/>
      <c r="R100" s="39"/>
      <c r="S100" s="39"/>
      <c r="T100" s="39"/>
      <c r="U100" s="39"/>
      <c r="V100" s="39"/>
      <c r="W100" s="39"/>
      <c r="X100" s="39"/>
      <c r="Y100" s="32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2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196"/>
    </row>
    <row r="101" spans="1:59" s="195" customFormat="1" ht="78" customHeight="1" x14ac:dyDescent="0.3">
      <c r="A101" s="154" t="str">
        <f t="shared" ref="A101:A104" si="28">IF(J101=0,"","п")</f>
        <v>п</v>
      </c>
      <c r="B101" s="155" t="s">
        <v>180</v>
      </c>
      <c r="C101" s="28"/>
      <c r="D101" s="210" t="s">
        <v>314</v>
      </c>
      <c r="E101" s="185">
        <v>1181</v>
      </c>
      <c r="F101" s="186" t="s">
        <v>194</v>
      </c>
      <c r="G101" s="187" t="s">
        <v>315</v>
      </c>
      <c r="H101" s="227"/>
      <c r="I101" s="228"/>
      <c r="J101" s="229">
        <f t="shared" si="22"/>
        <v>899318</v>
      </c>
      <c r="K101" s="230">
        <f>358815+558113-202415</f>
        <v>714513</v>
      </c>
      <c r="L101" s="230">
        <v>184805</v>
      </c>
      <c r="M101" s="230">
        <v>184805</v>
      </c>
      <c r="N101" s="382"/>
      <c r="O101" s="432"/>
      <c r="P101" s="432"/>
      <c r="Q101" s="39"/>
      <c r="R101" s="39"/>
      <c r="S101" s="39"/>
      <c r="T101" s="39"/>
      <c r="U101" s="39"/>
      <c r="V101" s="39"/>
      <c r="W101" s="39"/>
      <c r="X101" s="39"/>
      <c r="Y101" s="32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2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196"/>
    </row>
    <row r="102" spans="1:59" s="195" customFormat="1" ht="84" customHeight="1" x14ac:dyDescent="0.3">
      <c r="A102" s="154" t="str">
        <f t="shared" si="28"/>
        <v>п</v>
      </c>
      <c r="B102" s="155" t="s">
        <v>180</v>
      </c>
      <c r="C102" s="28"/>
      <c r="D102" s="210" t="s">
        <v>316</v>
      </c>
      <c r="E102" s="185">
        <v>1182</v>
      </c>
      <c r="F102" s="186" t="s">
        <v>194</v>
      </c>
      <c r="G102" s="187" t="s">
        <v>317</v>
      </c>
      <c r="H102" s="227"/>
      <c r="I102" s="228"/>
      <c r="J102" s="229">
        <f t="shared" si="22"/>
        <v>1268444</v>
      </c>
      <c r="K102" s="230">
        <v>837233</v>
      </c>
      <c r="L102" s="230">
        <v>431211</v>
      </c>
      <c r="M102" s="230">
        <v>431211</v>
      </c>
      <c r="N102" s="382"/>
      <c r="O102" s="432"/>
      <c r="P102" s="432"/>
      <c r="Q102" s="39"/>
      <c r="R102" s="39"/>
      <c r="S102" s="39"/>
      <c r="T102" s="39"/>
      <c r="U102" s="39"/>
      <c r="V102" s="39"/>
      <c r="W102" s="39"/>
      <c r="X102" s="39"/>
      <c r="Y102" s="32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2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196"/>
    </row>
    <row r="103" spans="1:59" s="195" customFormat="1" ht="24" hidden="1" customHeight="1" x14ac:dyDescent="0.3">
      <c r="A103" s="154" t="str">
        <f t="shared" si="28"/>
        <v/>
      </c>
      <c r="B103" s="155" t="s">
        <v>180</v>
      </c>
      <c r="C103" s="28"/>
      <c r="D103" s="210"/>
      <c r="E103" s="185"/>
      <c r="F103" s="186"/>
      <c r="G103" s="187"/>
      <c r="H103" s="227"/>
      <c r="I103" s="228"/>
      <c r="J103" s="229">
        <f t="shared" si="22"/>
        <v>0</v>
      </c>
      <c r="K103" s="230"/>
      <c r="L103" s="230"/>
      <c r="M103" s="230"/>
      <c r="N103" s="382"/>
      <c r="O103" s="432"/>
      <c r="P103" s="432"/>
      <c r="Q103" s="39"/>
      <c r="R103" s="39"/>
      <c r="S103" s="39"/>
      <c r="T103" s="39"/>
      <c r="U103" s="39"/>
      <c r="V103" s="39"/>
      <c r="W103" s="39"/>
      <c r="X103" s="39"/>
      <c r="Y103" s="32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2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196"/>
    </row>
    <row r="104" spans="1:59" s="195" customFormat="1" ht="24" hidden="1" customHeight="1" x14ac:dyDescent="0.3">
      <c r="A104" s="154" t="str">
        <f t="shared" si="28"/>
        <v/>
      </c>
      <c r="B104" s="155" t="s">
        <v>180</v>
      </c>
      <c r="C104" s="28"/>
      <c r="D104" s="210"/>
      <c r="E104" s="185"/>
      <c r="F104" s="186"/>
      <c r="G104" s="187"/>
      <c r="H104" s="227"/>
      <c r="I104" s="228"/>
      <c r="J104" s="229">
        <f t="shared" si="22"/>
        <v>0</v>
      </c>
      <c r="K104" s="230"/>
      <c r="L104" s="230"/>
      <c r="M104" s="230"/>
      <c r="N104" s="382"/>
      <c r="O104" s="432"/>
      <c r="P104" s="432"/>
      <c r="Q104" s="39"/>
      <c r="R104" s="39"/>
      <c r="S104" s="39"/>
      <c r="T104" s="39"/>
      <c r="U104" s="39"/>
      <c r="V104" s="39"/>
      <c r="W104" s="39"/>
      <c r="X104" s="39"/>
      <c r="Y104" s="32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2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196"/>
    </row>
    <row r="105" spans="1:59" s="195" customFormat="1" ht="75" x14ac:dyDescent="0.3">
      <c r="A105" s="154" t="str">
        <f t="shared" si="24"/>
        <v>п</v>
      </c>
      <c r="B105" s="155" t="s">
        <v>180</v>
      </c>
      <c r="C105" s="28"/>
      <c r="D105" s="210" t="s">
        <v>60</v>
      </c>
      <c r="E105" s="214" t="s">
        <v>61</v>
      </c>
      <c r="F105" s="186" t="s">
        <v>160</v>
      </c>
      <c r="G105" s="187" t="s">
        <v>168</v>
      </c>
      <c r="H105" s="188"/>
      <c r="I105" s="189"/>
      <c r="J105" s="190">
        <f t="shared" si="22"/>
        <v>369600</v>
      </c>
      <c r="K105" s="191">
        <f>643800-274200</f>
        <v>369600</v>
      </c>
      <c r="L105" s="192"/>
      <c r="M105" s="192"/>
      <c r="N105" s="30">
        <f>SUM(O105:W105)</f>
        <v>0</v>
      </c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2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2">
        <f>Y105+N105</f>
        <v>0</v>
      </c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196"/>
    </row>
    <row r="106" spans="1:59" s="33" customFormat="1" ht="68.25" customHeight="1" thickBot="1" x14ac:dyDescent="0.3">
      <c r="A106" s="27" t="str">
        <f t="shared" si="24"/>
        <v>п</v>
      </c>
      <c r="B106" s="155" t="s">
        <v>180</v>
      </c>
      <c r="C106" s="28"/>
      <c r="D106" s="210" t="s">
        <v>59</v>
      </c>
      <c r="E106" s="185" t="s">
        <v>46</v>
      </c>
      <c r="F106" s="186" t="s">
        <v>152</v>
      </c>
      <c r="G106" s="187" t="s">
        <v>167</v>
      </c>
      <c r="H106" s="188"/>
      <c r="I106" s="189"/>
      <c r="J106" s="190">
        <f t="shared" ref="J106:J107" si="29">+K106+L106</f>
        <v>72000</v>
      </c>
      <c r="K106" s="191">
        <v>72000</v>
      </c>
      <c r="L106" s="36"/>
      <c r="M106" s="36"/>
      <c r="N106" s="30">
        <f>SUM(O106:W106)</f>
        <v>0</v>
      </c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2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2">
        <f>Y106+N106</f>
        <v>0</v>
      </c>
      <c r="BG106" s="107"/>
    </row>
    <row r="107" spans="1:59" s="195" customFormat="1" ht="19.5" hidden="1" thickBot="1" x14ac:dyDescent="0.35">
      <c r="A107" s="154" t="str">
        <f t="shared" si="24"/>
        <v/>
      </c>
      <c r="B107" s="155" t="s">
        <v>180</v>
      </c>
      <c r="C107" s="28"/>
      <c r="D107" s="473" t="s">
        <v>302</v>
      </c>
      <c r="E107" s="474">
        <v>9770</v>
      </c>
      <c r="F107" s="475" t="s">
        <v>156</v>
      </c>
      <c r="G107" s="476" t="s">
        <v>79</v>
      </c>
      <c r="H107" s="477"/>
      <c r="I107" s="478"/>
      <c r="J107" s="479">
        <f t="shared" si="29"/>
        <v>0</v>
      </c>
      <c r="K107" s="480"/>
      <c r="L107" s="480">
        <f>684000+348000-348000-684000</f>
        <v>0</v>
      </c>
      <c r="M107" s="480">
        <f>684000+348000-348000-684000</f>
        <v>0</v>
      </c>
      <c r="N107" s="30">
        <f>SUM(O107:W107)</f>
        <v>0</v>
      </c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2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2">
        <f>Y107+N107</f>
        <v>0</v>
      </c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196"/>
    </row>
    <row r="108" spans="1:59" s="87" customFormat="1" ht="42.75" hidden="1" customHeight="1" x14ac:dyDescent="0.35">
      <c r="A108" s="27" t="str">
        <f t="shared" si="24"/>
        <v/>
      </c>
      <c r="B108" s="101" t="s">
        <v>180</v>
      </c>
      <c r="C108" s="101"/>
      <c r="D108" s="463"/>
      <c r="E108" s="215"/>
      <c r="F108" s="216"/>
      <c r="G108" s="239" t="s">
        <v>22</v>
      </c>
      <c r="H108" s="240"/>
      <c r="I108" s="114"/>
      <c r="J108" s="134">
        <f t="shared" si="22"/>
        <v>0</v>
      </c>
      <c r="K108" s="91"/>
      <c r="L108" s="91"/>
      <c r="M108" s="91"/>
      <c r="N108" s="84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6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6"/>
      <c r="BG108" s="107"/>
    </row>
    <row r="109" spans="1:59" s="33" customFormat="1" ht="37.5" hidden="1" customHeight="1" x14ac:dyDescent="0.3">
      <c r="A109" s="27" t="str">
        <f t="shared" si="24"/>
        <v/>
      </c>
      <c r="B109" s="28" t="s">
        <v>181</v>
      </c>
      <c r="C109" s="28"/>
      <c r="D109" s="223" t="s">
        <v>62</v>
      </c>
      <c r="E109" s="198"/>
      <c r="F109" s="198"/>
      <c r="G109" s="199" t="s">
        <v>9</v>
      </c>
      <c r="H109" s="371"/>
      <c r="I109" s="115"/>
      <c r="J109" s="93">
        <f t="shared" si="22"/>
        <v>0</v>
      </c>
      <c r="K109" s="93"/>
      <c r="L109" s="93"/>
      <c r="M109" s="93"/>
      <c r="N109" s="30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2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2"/>
      <c r="BG109" s="107"/>
    </row>
    <row r="110" spans="1:59" s="33" customFormat="1" ht="37.5" hidden="1" customHeight="1" x14ac:dyDescent="0.3">
      <c r="A110" s="27" t="str">
        <f t="shared" si="24"/>
        <v/>
      </c>
      <c r="B110" s="28" t="s">
        <v>181</v>
      </c>
      <c r="C110" s="28"/>
      <c r="D110" s="223" t="s">
        <v>63</v>
      </c>
      <c r="E110" s="198"/>
      <c r="F110" s="198"/>
      <c r="G110" s="199" t="s">
        <v>9</v>
      </c>
      <c r="H110" s="245"/>
      <c r="I110" s="116"/>
      <c r="J110" s="90">
        <f t="shared" si="22"/>
        <v>0</v>
      </c>
      <c r="K110" s="90">
        <f>+K111</f>
        <v>0</v>
      </c>
      <c r="L110" s="90">
        <f>+L111</f>
        <v>0</v>
      </c>
      <c r="M110" s="90">
        <f>+M111</f>
        <v>0</v>
      </c>
      <c r="N110" s="30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2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2"/>
      <c r="BG110" s="107"/>
    </row>
    <row r="111" spans="1:59" s="33" customFormat="1" ht="19.5" hidden="1" thickBot="1" x14ac:dyDescent="0.3">
      <c r="A111" s="27" t="str">
        <f t="shared" si="24"/>
        <v/>
      </c>
      <c r="B111" s="28" t="s">
        <v>181</v>
      </c>
      <c r="C111" s="28"/>
      <c r="D111" s="210"/>
      <c r="E111" s="185"/>
      <c r="F111" s="186"/>
      <c r="G111" s="187"/>
      <c r="H111" s="232"/>
      <c r="I111" s="112"/>
      <c r="J111" s="41">
        <f t="shared" si="22"/>
        <v>0</v>
      </c>
      <c r="K111" s="41"/>
      <c r="L111" s="41">
        <f>600000-600000</f>
        <v>0</v>
      </c>
      <c r="M111" s="41">
        <f>600000-600000</f>
        <v>0</v>
      </c>
      <c r="N111" s="30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2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2"/>
      <c r="BG111" s="107"/>
    </row>
    <row r="112" spans="1:59" s="87" customFormat="1" ht="19.5" hidden="1" thickBot="1" x14ac:dyDescent="0.35">
      <c r="A112" s="27" t="str">
        <f t="shared" si="24"/>
        <v/>
      </c>
      <c r="B112" s="101" t="s">
        <v>181</v>
      </c>
      <c r="C112" s="101"/>
      <c r="D112" s="464"/>
      <c r="E112" s="372"/>
      <c r="F112" s="386"/>
      <c r="G112" s="444"/>
      <c r="H112" s="372"/>
      <c r="I112" s="117"/>
      <c r="J112" s="99">
        <f t="shared" si="22"/>
        <v>0</v>
      </c>
      <c r="K112" s="99"/>
      <c r="L112" s="99">
        <f>600000-600000</f>
        <v>0</v>
      </c>
      <c r="M112" s="99">
        <f>600000-600000</f>
        <v>0</v>
      </c>
      <c r="N112" s="84">
        <f>SUM(O112:W112)</f>
        <v>0</v>
      </c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6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88"/>
      <c r="AK112" s="86">
        <f>Y112+N112</f>
        <v>0</v>
      </c>
      <c r="BG112" s="107"/>
    </row>
    <row r="113" spans="1:59" s="195" customFormat="1" ht="82.5" customHeight="1" x14ac:dyDescent="0.3">
      <c r="A113" s="154" t="str">
        <f t="shared" si="24"/>
        <v>п</v>
      </c>
      <c r="B113" s="155"/>
      <c r="C113" s="28"/>
      <c r="D113" s="170"/>
      <c r="E113" s="169"/>
      <c r="F113" s="170"/>
      <c r="G113" s="171"/>
      <c r="H113" s="171" t="s">
        <v>236</v>
      </c>
      <c r="I113" s="173" t="s">
        <v>125</v>
      </c>
      <c r="J113" s="175">
        <f>+K113+L113</f>
        <v>991852</v>
      </c>
      <c r="K113" s="175">
        <f>+K114+K119+K128+K124</f>
        <v>528730</v>
      </c>
      <c r="L113" s="175">
        <f>+L114+L119+L128+L124</f>
        <v>463122</v>
      </c>
      <c r="M113" s="175">
        <f>+M114+M119+M128+M124</f>
        <v>463122</v>
      </c>
      <c r="N113" s="30">
        <f>SUM(O113:W113)</f>
        <v>0</v>
      </c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2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2">
        <f>Y113+N113</f>
        <v>0</v>
      </c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196"/>
    </row>
    <row r="114" spans="1:59" s="44" customFormat="1" ht="19.5" hidden="1" x14ac:dyDescent="0.25">
      <c r="A114" s="27" t="str">
        <f t="shared" si="24"/>
        <v/>
      </c>
      <c r="B114" s="28" t="s">
        <v>178</v>
      </c>
      <c r="C114" s="103"/>
      <c r="D114" s="177" t="s">
        <v>29</v>
      </c>
      <c r="E114" s="177"/>
      <c r="F114" s="177"/>
      <c r="G114" s="179" t="s">
        <v>3</v>
      </c>
      <c r="H114" s="269"/>
      <c r="I114" s="119"/>
      <c r="J114" s="62">
        <f t="shared" si="22"/>
        <v>0</v>
      </c>
      <c r="K114" s="62">
        <f>K115</f>
        <v>0</v>
      </c>
      <c r="L114" s="62">
        <f>L115</f>
        <v>0</v>
      </c>
      <c r="M114" s="62">
        <f>M115</f>
        <v>0</v>
      </c>
      <c r="N114" s="30">
        <f>SUM(O114:W114)</f>
        <v>0</v>
      </c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32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32">
        <f>Y114+N114</f>
        <v>0</v>
      </c>
      <c r="BG114" s="107"/>
    </row>
    <row r="115" spans="1:59" s="44" customFormat="1" ht="19.5" hidden="1" x14ac:dyDescent="0.25">
      <c r="A115" s="27" t="str">
        <f t="shared" si="24"/>
        <v/>
      </c>
      <c r="B115" s="28" t="s">
        <v>178</v>
      </c>
      <c r="C115" s="103"/>
      <c r="D115" s="177" t="s">
        <v>28</v>
      </c>
      <c r="E115" s="177"/>
      <c r="F115" s="177"/>
      <c r="G115" s="179" t="s">
        <v>3</v>
      </c>
      <c r="H115" s="245"/>
      <c r="I115" s="116"/>
      <c r="J115" s="90">
        <f t="shared" si="22"/>
        <v>0</v>
      </c>
      <c r="K115" s="90">
        <f>+K117+K118+K116</f>
        <v>0</v>
      </c>
      <c r="L115" s="90">
        <f>+L117+L118+L116</f>
        <v>0</v>
      </c>
      <c r="M115" s="90">
        <f>+M117+M118+M116</f>
        <v>0</v>
      </c>
      <c r="N115" s="30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32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32"/>
      <c r="BG115" s="107"/>
    </row>
    <row r="116" spans="1:59" s="44" customFormat="1" ht="75" hidden="1" x14ac:dyDescent="0.25">
      <c r="A116" s="27" t="str">
        <f>IF(J116=0,"","п")</f>
        <v/>
      </c>
      <c r="B116" s="28" t="s">
        <v>178</v>
      </c>
      <c r="C116" s="103"/>
      <c r="D116" s="210" t="s">
        <v>101</v>
      </c>
      <c r="E116" s="232" t="s">
        <v>102</v>
      </c>
      <c r="F116" s="209" t="s">
        <v>93</v>
      </c>
      <c r="G116" s="442" t="s">
        <v>103</v>
      </c>
      <c r="H116" s="245"/>
      <c r="I116" s="116"/>
      <c r="J116" s="41">
        <f t="shared" si="22"/>
        <v>0</v>
      </c>
      <c r="K116" s="41"/>
      <c r="L116" s="41"/>
      <c r="M116" s="41"/>
      <c r="N116" s="30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32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32"/>
      <c r="BG116" s="107"/>
    </row>
    <row r="117" spans="1:59" s="33" customFormat="1" ht="37.5" hidden="1" x14ac:dyDescent="0.25">
      <c r="A117" s="27" t="str">
        <f t="shared" si="24"/>
        <v/>
      </c>
      <c r="B117" s="28" t="s">
        <v>178</v>
      </c>
      <c r="C117" s="103"/>
      <c r="D117" s="368" t="s">
        <v>44</v>
      </c>
      <c r="E117" s="232" t="s">
        <v>172</v>
      </c>
      <c r="F117" s="209" t="s">
        <v>161</v>
      </c>
      <c r="G117" s="442" t="s">
        <v>170</v>
      </c>
      <c r="H117" s="232"/>
      <c r="I117" s="112"/>
      <c r="J117" s="41">
        <f t="shared" si="22"/>
        <v>0</v>
      </c>
      <c r="K117" s="41"/>
      <c r="L117" s="41"/>
      <c r="M117" s="41"/>
      <c r="N117" s="30">
        <f>SUM(O117:W117)</f>
        <v>0</v>
      </c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2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2">
        <f>Y117+N117</f>
        <v>0</v>
      </c>
      <c r="BG117" s="107"/>
    </row>
    <row r="118" spans="1:59" s="33" customFormat="1" hidden="1" x14ac:dyDescent="0.25">
      <c r="A118" s="27" t="str">
        <f t="shared" si="24"/>
        <v/>
      </c>
      <c r="B118" s="28" t="s">
        <v>178</v>
      </c>
      <c r="C118" s="103"/>
      <c r="D118" s="210"/>
      <c r="E118" s="185"/>
      <c r="F118" s="186"/>
      <c r="G118" s="187"/>
      <c r="H118" s="232"/>
      <c r="I118" s="112"/>
      <c r="J118" s="41"/>
      <c r="K118" s="41"/>
      <c r="L118" s="41"/>
      <c r="M118" s="41"/>
      <c r="N118" s="30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2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2"/>
      <c r="BG118" s="107"/>
    </row>
    <row r="119" spans="1:59" s="197" customFormat="1" ht="39" x14ac:dyDescent="0.3">
      <c r="A119" s="154" t="str">
        <f t="shared" si="24"/>
        <v>п</v>
      </c>
      <c r="B119" s="155" t="s">
        <v>180</v>
      </c>
      <c r="C119" s="103"/>
      <c r="D119" s="465" t="s">
        <v>55</v>
      </c>
      <c r="E119" s="245"/>
      <c r="F119" s="246"/>
      <c r="G119" s="247" t="s">
        <v>2</v>
      </c>
      <c r="H119" s="248"/>
      <c r="I119" s="249"/>
      <c r="J119" s="250">
        <f t="shared" si="22"/>
        <v>594511</v>
      </c>
      <c r="K119" s="250">
        <f>K120</f>
        <v>329743</v>
      </c>
      <c r="L119" s="250">
        <f>L120</f>
        <v>264768</v>
      </c>
      <c r="M119" s="250">
        <f>M120</f>
        <v>264768</v>
      </c>
      <c r="N119" s="30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196"/>
    </row>
    <row r="120" spans="1:59" s="197" customFormat="1" ht="39" x14ac:dyDescent="0.3">
      <c r="A120" s="154" t="str">
        <f t="shared" si="24"/>
        <v>п</v>
      </c>
      <c r="B120" s="155" t="s">
        <v>180</v>
      </c>
      <c r="C120" s="103"/>
      <c r="D120" s="465" t="s">
        <v>56</v>
      </c>
      <c r="E120" s="245"/>
      <c r="F120" s="246"/>
      <c r="G120" s="247" t="s">
        <v>2</v>
      </c>
      <c r="H120" s="248"/>
      <c r="I120" s="249"/>
      <c r="J120" s="250">
        <f t="shared" si="22"/>
        <v>594511</v>
      </c>
      <c r="K120" s="250">
        <f>SUM(K121:K123)</f>
        <v>329743</v>
      </c>
      <c r="L120" s="250">
        <f>SUM(L121:L123)</f>
        <v>264768</v>
      </c>
      <c r="M120" s="250">
        <f>SUM(M121:M123)</f>
        <v>264768</v>
      </c>
      <c r="N120" s="30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196"/>
    </row>
    <row r="121" spans="1:59" s="33" customFormat="1" ht="29.25" hidden="1" customHeight="1" x14ac:dyDescent="0.25">
      <c r="A121" s="27" t="str">
        <f t="shared" si="24"/>
        <v/>
      </c>
      <c r="B121" s="28" t="s">
        <v>180</v>
      </c>
      <c r="C121" s="103"/>
      <c r="D121" s="368" t="s">
        <v>57</v>
      </c>
      <c r="E121" s="232">
        <v>1010</v>
      </c>
      <c r="F121" s="209" t="s">
        <v>157</v>
      </c>
      <c r="G121" s="442" t="s">
        <v>58</v>
      </c>
      <c r="H121" s="232"/>
      <c r="I121" s="112"/>
      <c r="J121" s="41">
        <f t="shared" si="22"/>
        <v>0</v>
      </c>
      <c r="K121" s="41"/>
      <c r="L121" s="41"/>
      <c r="M121" s="41"/>
      <c r="N121" s="30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2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2"/>
      <c r="BG121" s="107"/>
    </row>
    <row r="122" spans="1:59" s="195" customFormat="1" ht="37.5" x14ac:dyDescent="0.3">
      <c r="A122" s="154" t="str">
        <f t="shared" si="24"/>
        <v>п</v>
      </c>
      <c r="B122" s="155" t="s">
        <v>180</v>
      </c>
      <c r="C122" s="103"/>
      <c r="D122" s="210" t="s">
        <v>274</v>
      </c>
      <c r="E122" s="185">
        <v>1021</v>
      </c>
      <c r="F122" s="186" t="s">
        <v>158</v>
      </c>
      <c r="G122" s="213" t="s">
        <v>276</v>
      </c>
      <c r="H122" s="232"/>
      <c r="I122" s="228"/>
      <c r="J122" s="230">
        <f t="shared" ref="J122:J129" si="30">+K122+L122</f>
        <v>594511</v>
      </c>
      <c r="K122" s="230">
        <f>420715-60050-30922</f>
        <v>329743</v>
      </c>
      <c r="L122" s="230">
        <f>173796+60050+30922</f>
        <v>264768</v>
      </c>
      <c r="M122" s="230">
        <f>173796+60050+30922</f>
        <v>264768</v>
      </c>
      <c r="N122" s="30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2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2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196"/>
    </row>
    <row r="123" spans="1:59" s="33" customFormat="1" hidden="1" x14ac:dyDescent="0.25">
      <c r="A123" s="27" t="str">
        <f t="shared" ref="A123:A129" si="31">IF(J123=0,"","п")</f>
        <v/>
      </c>
      <c r="B123" s="28" t="s">
        <v>180</v>
      </c>
      <c r="C123" s="103"/>
      <c r="D123" s="368"/>
      <c r="E123" s="208"/>
      <c r="F123" s="209"/>
      <c r="G123" s="442"/>
      <c r="H123" s="232"/>
      <c r="I123" s="112"/>
      <c r="J123" s="41">
        <f t="shared" si="30"/>
        <v>0</v>
      </c>
      <c r="K123" s="41"/>
      <c r="L123" s="41"/>
      <c r="M123" s="41"/>
      <c r="N123" s="30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2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2"/>
      <c r="BG123" s="107"/>
    </row>
    <row r="124" spans="1:59" s="195" customFormat="1" ht="39" x14ac:dyDescent="0.3">
      <c r="A124" s="154" t="str">
        <f t="shared" si="31"/>
        <v>п</v>
      </c>
      <c r="B124" s="155" t="s">
        <v>13</v>
      </c>
      <c r="C124" s="103"/>
      <c r="D124" s="223" t="s">
        <v>165</v>
      </c>
      <c r="E124" s="198"/>
      <c r="F124" s="198"/>
      <c r="G124" s="199" t="s">
        <v>294</v>
      </c>
      <c r="H124" s="232"/>
      <c r="I124" s="225"/>
      <c r="J124" s="250">
        <f t="shared" si="30"/>
        <v>198915</v>
      </c>
      <c r="K124" s="250">
        <f>+K125</f>
        <v>561</v>
      </c>
      <c r="L124" s="250">
        <f>+L125</f>
        <v>198354</v>
      </c>
      <c r="M124" s="250">
        <f>+M125</f>
        <v>198354</v>
      </c>
      <c r="N124" s="30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2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2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196"/>
    </row>
    <row r="125" spans="1:59" s="195" customFormat="1" ht="39" x14ac:dyDescent="0.3">
      <c r="A125" s="154" t="str">
        <f t="shared" si="31"/>
        <v>п</v>
      </c>
      <c r="B125" s="155" t="s">
        <v>13</v>
      </c>
      <c r="C125" s="103"/>
      <c r="D125" s="223" t="s">
        <v>166</v>
      </c>
      <c r="E125" s="198"/>
      <c r="F125" s="198"/>
      <c r="G125" s="199" t="s">
        <v>294</v>
      </c>
      <c r="H125" s="232"/>
      <c r="I125" s="225"/>
      <c r="J125" s="250">
        <f>SUM(J126:J127)</f>
        <v>198915</v>
      </c>
      <c r="K125" s="250">
        <f>SUM(K126:K127)</f>
        <v>561</v>
      </c>
      <c r="L125" s="250">
        <f>SUM(L126:L127)</f>
        <v>198354</v>
      </c>
      <c r="M125" s="250">
        <f>SUM(M126:M127)</f>
        <v>198354</v>
      </c>
      <c r="N125" s="30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2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2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196"/>
    </row>
    <row r="126" spans="1:59" s="195" customFormat="1" ht="37.5" x14ac:dyDescent="0.3">
      <c r="A126" s="154" t="str">
        <f t="shared" si="31"/>
        <v>п</v>
      </c>
      <c r="B126" s="155" t="s">
        <v>13</v>
      </c>
      <c r="C126" s="27" t="str">
        <f>IF(L126=0,"","п")</f>
        <v>п</v>
      </c>
      <c r="D126" s="210" t="s">
        <v>253</v>
      </c>
      <c r="E126" s="185">
        <v>4060</v>
      </c>
      <c r="F126" s="186" t="s">
        <v>255</v>
      </c>
      <c r="G126" s="187" t="s">
        <v>256</v>
      </c>
      <c r="H126" s="232"/>
      <c r="I126" s="228"/>
      <c r="J126" s="230">
        <f t="shared" si="30"/>
        <v>99015</v>
      </c>
      <c r="K126" s="230">
        <v>561</v>
      </c>
      <c r="L126" s="230">
        <v>98454</v>
      </c>
      <c r="M126" s="230">
        <v>98454</v>
      </c>
      <c r="N126" s="30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2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2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196"/>
    </row>
    <row r="127" spans="1:59" s="195" customFormat="1" ht="37.5" x14ac:dyDescent="0.3">
      <c r="A127" s="154" t="str">
        <f t="shared" si="31"/>
        <v>п</v>
      </c>
      <c r="B127" s="155" t="s">
        <v>13</v>
      </c>
      <c r="C127" s="103"/>
      <c r="D127" s="210">
        <v>1015031</v>
      </c>
      <c r="E127" s="185" t="s">
        <v>46</v>
      </c>
      <c r="F127" s="186" t="s">
        <v>152</v>
      </c>
      <c r="G127" s="187" t="s">
        <v>167</v>
      </c>
      <c r="H127" s="232"/>
      <c r="I127" s="228"/>
      <c r="J127" s="230">
        <f t="shared" si="30"/>
        <v>99900</v>
      </c>
      <c r="K127" s="230"/>
      <c r="L127" s="230">
        <v>99900</v>
      </c>
      <c r="M127" s="230">
        <v>99900</v>
      </c>
      <c r="N127" s="30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2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2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196"/>
    </row>
    <row r="128" spans="1:59" s="195" customFormat="1" ht="58.5" x14ac:dyDescent="0.3">
      <c r="A128" s="154" t="str">
        <f t="shared" si="31"/>
        <v>п</v>
      </c>
      <c r="B128" s="155" t="s">
        <v>181</v>
      </c>
      <c r="C128" s="103"/>
      <c r="D128" s="223" t="s">
        <v>62</v>
      </c>
      <c r="E128" s="198"/>
      <c r="F128" s="198"/>
      <c r="G128" s="199" t="s">
        <v>9</v>
      </c>
      <c r="H128" s="232"/>
      <c r="I128" s="228"/>
      <c r="J128" s="250">
        <f t="shared" si="30"/>
        <v>198426</v>
      </c>
      <c r="K128" s="250">
        <f>+K129</f>
        <v>198426</v>
      </c>
      <c r="L128" s="250">
        <f>+L129</f>
        <v>0</v>
      </c>
      <c r="M128" s="250">
        <f>+M129</f>
        <v>0</v>
      </c>
      <c r="N128" s="30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2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2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196"/>
    </row>
    <row r="129" spans="1:59" s="195" customFormat="1" ht="58.5" customHeight="1" x14ac:dyDescent="0.3">
      <c r="A129" s="154" t="str">
        <f t="shared" si="31"/>
        <v>п</v>
      </c>
      <c r="B129" s="155" t="s">
        <v>181</v>
      </c>
      <c r="C129" s="103"/>
      <c r="D129" s="223" t="s">
        <v>63</v>
      </c>
      <c r="E129" s="198"/>
      <c r="F129" s="198"/>
      <c r="G129" s="199" t="s">
        <v>9</v>
      </c>
      <c r="H129" s="232"/>
      <c r="I129" s="228"/>
      <c r="J129" s="250">
        <f t="shared" si="30"/>
        <v>198426</v>
      </c>
      <c r="K129" s="250">
        <f>SUM(K130:K130)</f>
        <v>198426</v>
      </c>
      <c r="L129" s="250">
        <f>SUM(L130:L130)</f>
        <v>0</v>
      </c>
      <c r="M129" s="250">
        <f>SUM(M130:M130)</f>
        <v>0</v>
      </c>
      <c r="N129" s="30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2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2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196"/>
    </row>
    <row r="130" spans="1:59" s="195" customFormat="1" ht="34.5" customHeight="1" thickBot="1" x14ac:dyDescent="0.35">
      <c r="A130" s="154" t="str">
        <f t="shared" si="24"/>
        <v>п</v>
      </c>
      <c r="B130" s="155" t="s">
        <v>181</v>
      </c>
      <c r="C130" s="103"/>
      <c r="D130" s="261">
        <v>1216030</v>
      </c>
      <c r="E130" s="252" t="s">
        <v>71</v>
      </c>
      <c r="F130" s="253" t="s">
        <v>151</v>
      </c>
      <c r="G130" s="254" t="s">
        <v>72</v>
      </c>
      <c r="H130" s="252"/>
      <c r="I130" s="255"/>
      <c r="J130" s="256">
        <f t="shared" si="22"/>
        <v>198426</v>
      </c>
      <c r="K130" s="256">
        <v>198426</v>
      </c>
      <c r="L130" s="256"/>
      <c r="M130" s="256"/>
      <c r="N130" s="30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2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2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196"/>
    </row>
    <row r="131" spans="1:59" s="197" customFormat="1" ht="79.5" customHeight="1" x14ac:dyDescent="0.3">
      <c r="A131" s="154" t="str">
        <f>IF(J131=0,"","п")</f>
        <v>п</v>
      </c>
      <c r="B131" s="155"/>
      <c r="C131" s="28"/>
      <c r="D131" s="234"/>
      <c r="E131" s="171"/>
      <c r="F131" s="234"/>
      <c r="G131" s="171"/>
      <c r="H131" s="172" t="s">
        <v>287</v>
      </c>
      <c r="I131" s="173" t="s">
        <v>288</v>
      </c>
      <c r="J131" s="174">
        <f>+K131+L131</f>
        <v>28000</v>
      </c>
      <c r="K131" s="175">
        <f t="shared" ref="K131:M132" si="32">+K132</f>
        <v>28000</v>
      </c>
      <c r="L131" s="175">
        <f t="shared" si="32"/>
        <v>0</v>
      </c>
      <c r="M131" s="175">
        <f t="shared" si="32"/>
        <v>0</v>
      </c>
      <c r="N131" s="30">
        <f>SUM(O131:W131)</f>
        <v>0</v>
      </c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2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2">
        <f>Y131+N131</f>
        <v>0</v>
      </c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196"/>
    </row>
    <row r="132" spans="1:59" s="197" customFormat="1" ht="19.5" x14ac:dyDescent="0.3">
      <c r="A132" s="154" t="str">
        <f>IF(J132=0,"","п")</f>
        <v>п</v>
      </c>
      <c r="B132" s="155" t="s">
        <v>178</v>
      </c>
      <c r="C132" s="28"/>
      <c r="D132" s="177" t="s">
        <v>29</v>
      </c>
      <c r="E132" s="177"/>
      <c r="F132" s="177"/>
      <c r="G132" s="179" t="s">
        <v>3</v>
      </c>
      <c r="H132" s="200"/>
      <c r="I132" s="201"/>
      <c r="J132" s="202">
        <f>+K132+L132</f>
        <v>28000</v>
      </c>
      <c r="K132" s="203">
        <f t="shared" si="32"/>
        <v>28000</v>
      </c>
      <c r="L132" s="203">
        <f t="shared" si="32"/>
        <v>0</v>
      </c>
      <c r="M132" s="203">
        <f t="shared" si="32"/>
        <v>0</v>
      </c>
      <c r="N132" s="30">
        <f>SUM(O132:W132)</f>
        <v>0</v>
      </c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32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32">
        <f>Y132+N132</f>
        <v>0</v>
      </c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196"/>
    </row>
    <row r="133" spans="1:59" s="197" customFormat="1" ht="19.5" x14ac:dyDescent="0.3">
      <c r="A133" s="154" t="str">
        <f>IF(J133=0,"","п")</f>
        <v>п</v>
      </c>
      <c r="B133" s="155" t="s">
        <v>178</v>
      </c>
      <c r="C133" s="28"/>
      <c r="D133" s="177" t="s">
        <v>28</v>
      </c>
      <c r="E133" s="177"/>
      <c r="F133" s="177"/>
      <c r="G133" s="179" t="s">
        <v>3</v>
      </c>
      <c r="H133" s="257"/>
      <c r="I133" s="258"/>
      <c r="J133" s="259">
        <f>+K133+L133</f>
        <v>28000</v>
      </c>
      <c r="K133" s="260">
        <f>SUM(K134:K134)</f>
        <v>28000</v>
      </c>
      <c r="L133" s="260">
        <f>SUM(L134:L134)</f>
        <v>0</v>
      </c>
      <c r="M133" s="260">
        <f>SUM(M134:M134)</f>
        <v>0</v>
      </c>
      <c r="N133" s="30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32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32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196"/>
    </row>
    <row r="134" spans="1:59" s="195" customFormat="1" ht="38.25" thickBot="1" x14ac:dyDescent="0.35">
      <c r="A134" s="154" t="str">
        <f>IF(J134=0,"","п")</f>
        <v>п</v>
      </c>
      <c r="B134" s="155" t="s">
        <v>178</v>
      </c>
      <c r="C134" s="103"/>
      <c r="D134" s="261" t="s">
        <v>53</v>
      </c>
      <c r="E134" s="253" t="s">
        <v>54</v>
      </c>
      <c r="F134" s="253" t="s">
        <v>160</v>
      </c>
      <c r="G134" s="254" t="s">
        <v>273</v>
      </c>
      <c r="H134" s="262"/>
      <c r="I134" s="255"/>
      <c r="J134" s="256">
        <f>+K134+L134</f>
        <v>28000</v>
      </c>
      <c r="K134" s="256">
        <v>28000</v>
      </c>
      <c r="L134" s="256"/>
      <c r="M134" s="256"/>
      <c r="N134" s="30">
        <f>SUM(O134:W134)</f>
        <v>0</v>
      </c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2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2">
        <f>Y134+N134</f>
        <v>0</v>
      </c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196"/>
    </row>
    <row r="135" spans="1:59" s="197" customFormat="1" ht="62.25" hidden="1" customHeight="1" x14ac:dyDescent="0.35">
      <c r="A135" s="154" t="str">
        <f t="shared" si="24"/>
        <v/>
      </c>
      <c r="B135" s="155"/>
      <c r="C135" s="28"/>
      <c r="D135" s="234"/>
      <c r="E135" s="171"/>
      <c r="F135" s="234"/>
      <c r="G135" s="171"/>
      <c r="H135" s="172" t="s">
        <v>262</v>
      </c>
      <c r="I135" s="173" t="s">
        <v>263</v>
      </c>
      <c r="J135" s="174">
        <f t="shared" si="22"/>
        <v>0</v>
      </c>
      <c r="K135" s="175">
        <f t="shared" ref="K135:M136" si="33">+K136</f>
        <v>0</v>
      </c>
      <c r="L135" s="175">
        <f t="shared" si="33"/>
        <v>0</v>
      </c>
      <c r="M135" s="175">
        <f t="shared" si="33"/>
        <v>0</v>
      </c>
      <c r="N135" s="30">
        <f>SUM(O135:W135)</f>
        <v>0</v>
      </c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2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2">
        <f>Y135+N135</f>
        <v>0</v>
      </c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196"/>
    </row>
    <row r="136" spans="1:59" s="197" customFormat="1" ht="39.75" hidden="1" thickBot="1" x14ac:dyDescent="0.35">
      <c r="A136" s="154" t="str">
        <f t="shared" si="24"/>
        <v/>
      </c>
      <c r="B136" s="155" t="s">
        <v>13</v>
      </c>
      <c r="C136" s="28"/>
      <c r="D136" s="223" t="s">
        <v>165</v>
      </c>
      <c r="E136" s="198"/>
      <c r="F136" s="198"/>
      <c r="G136" s="199" t="s">
        <v>294</v>
      </c>
      <c r="H136" s="200"/>
      <c r="I136" s="201"/>
      <c r="J136" s="202">
        <f t="shared" si="22"/>
        <v>0</v>
      </c>
      <c r="K136" s="203">
        <f t="shared" si="33"/>
        <v>0</v>
      </c>
      <c r="L136" s="203">
        <f t="shared" si="33"/>
        <v>0</v>
      </c>
      <c r="M136" s="203">
        <f t="shared" si="33"/>
        <v>0</v>
      </c>
      <c r="N136" s="30">
        <f>SUM(O136:W136)</f>
        <v>0</v>
      </c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32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32">
        <f>Y136+N136</f>
        <v>0</v>
      </c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196"/>
    </row>
    <row r="137" spans="1:59" s="197" customFormat="1" ht="39.75" hidden="1" thickBot="1" x14ac:dyDescent="0.35">
      <c r="A137" s="154" t="str">
        <f t="shared" si="24"/>
        <v/>
      </c>
      <c r="B137" s="155" t="s">
        <v>13</v>
      </c>
      <c r="C137" s="28"/>
      <c r="D137" s="223" t="s">
        <v>166</v>
      </c>
      <c r="E137" s="198"/>
      <c r="F137" s="198"/>
      <c r="G137" s="199" t="s">
        <v>294</v>
      </c>
      <c r="H137" s="257"/>
      <c r="I137" s="258"/>
      <c r="J137" s="259">
        <f t="shared" si="22"/>
        <v>0</v>
      </c>
      <c r="K137" s="260">
        <f>SUM(K138:K138)</f>
        <v>0</v>
      </c>
      <c r="L137" s="260">
        <f>SUM(L138:L138)</f>
        <v>0</v>
      </c>
      <c r="M137" s="260">
        <f>SUM(M138:M138)</f>
        <v>0</v>
      </c>
      <c r="N137" s="30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32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32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196"/>
    </row>
    <row r="138" spans="1:59" s="195" customFormat="1" ht="19.5" hidden="1" thickBot="1" x14ac:dyDescent="0.35">
      <c r="A138" s="154" t="str">
        <f t="shared" si="24"/>
        <v/>
      </c>
      <c r="B138" s="155" t="s">
        <v>13</v>
      </c>
      <c r="C138" s="28"/>
      <c r="D138" s="210" t="s">
        <v>197</v>
      </c>
      <c r="E138" s="185" t="s">
        <v>196</v>
      </c>
      <c r="F138" s="186" t="s">
        <v>27</v>
      </c>
      <c r="G138" s="187" t="s">
        <v>198</v>
      </c>
      <c r="H138" s="227"/>
      <c r="I138" s="228"/>
      <c r="J138" s="229">
        <f t="shared" si="22"/>
        <v>0</v>
      </c>
      <c r="K138" s="230">
        <f>15461-15461</f>
        <v>0</v>
      </c>
      <c r="L138" s="231"/>
      <c r="M138" s="231"/>
      <c r="N138" s="30">
        <f>SUM(O138:W138)</f>
        <v>0</v>
      </c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2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2">
        <f>Y138+N138</f>
        <v>0</v>
      </c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196"/>
    </row>
    <row r="139" spans="1:59" s="33" customFormat="1" ht="75" x14ac:dyDescent="0.25">
      <c r="A139" s="27" t="str">
        <f t="shared" si="24"/>
        <v>п</v>
      </c>
      <c r="B139" s="28"/>
      <c r="C139" s="28"/>
      <c r="D139" s="170"/>
      <c r="E139" s="169"/>
      <c r="F139" s="170"/>
      <c r="G139" s="171"/>
      <c r="H139" s="171" t="s">
        <v>338</v>
      </c>
      <c r="I139" s="173" t="s">
        <v>339</v>
      </c>
      <c r="J139" s="175">
        <f t="shared" si="22"/>
        <v>848400</v>
      </c>
      <c r="K139" s="175">
        <f>+K140</f>
        <v>0</v>
      </c>
      <c r="L139" s="175">
        <f>+L140</f>
        <v>848400</v>
      </c>
      <c r="M139" s="175">
        <f>+M140</f>
        <v>0</v>
      </c>
      <c r="N139" s="30">
        <f>SUM(O139:W139)</f>
        <v>0</v>
      </c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2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2">
        <f>Y139+N139</f>
        <v>0</v>
      </c>
      <c r="BG139" s="107"/>
    </row>
    <row r="140" spans="1:59" s="44" customFormat="1" ht="58.5" x14ac:dyDescent="0.25">
      <c r="A140" s="27" t="str">
        <f t="shared" si="24"/>
        <v>п</v>
      </c>
      <c r="B140" s="28" t="s">
        <v>181</v>
      </c>
      <c r="C140" s="28"/>
      <c r="D140" s="223" t="s">
        <v>62</v>
      </c>
      <c r="E140" s="198"/>
      <c r="F140" s="198"/>
      <c r="G140" s="199" t="s">
        <v>9</v>
      </c>
      <c r="H140" s="373"/>
      <c r="I140" s="280"/>
      <c r="J140" s="282">
        <f t="shared" si="22"/>
        <v>848400</v>
      </c>
      <c r="K140" s="282">
        <f>SUM(K142)</f>
        <v>0</v>
      </c>
      <c r="L140" s="282">
        <f>SUM(L142)</f>
        <v>848400</v>
      </c>
      <c r="M140" s="282">
        <f>SUM(M142)</f>
        <v>0</v>
      </c>
      <c r="N140" s="30">
        <f>SUM(O140:W140)</f>
        <v>0</v>
      </c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32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32">
        <f>Y140+N140</f>
        <v>0</v>
      </c>
      <c r="BG140" s="107"/>
    </row>
    <row r="141" spans="1:59" s="44" customFormat="1" ht="58.5" x14ac:dyDescent="0.25">
      <c r="A141" s="27" t="str">
        <f t="shared" si="24"/>
        <v>п</v>
      </c>
      <c r="B141" s="28" t="s">
        <v>181</v>
      </c>
      <c r="C141" s="28"/>
      <c r="D141" s="223" t="s">
        <v>63</v>
      </c>
      <c r="E141" s="198"/>
      <c r="F141" s="198"/>
      <c r="G141" s="199" t="s">
        <v>9</v>
      </c>
      <c r="H141" s="248"/>
      <c r="I141" s="504"/>
      <c r="J141" s="505">
        <f t="shared" si="22"/>
        <v>848400</v>
      </c>
      <c r="K141" s="505">
        <f>+K142</f>
        <v>0</v>
      </c>
      <c r="L141" s="505">
        <f>+L142</f>
        <v>848400</v>
      </c>
      <c r="M141" s="505">
        <f>+M142</f>
        <v>0</v>
      </c>
      <c r="N141" s="30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32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32"/>
      <c r="BG141" s="107"/>
    </row>
    <row r="142" spans="1:59" s="195" customFormat="1" ht="33" customHeight="1" thickBot="1" x14ac:dyDescent="0.35">
      <c r="A142" s="154" t="str">
        <f t="shared" ref="A142" si="34">IF(J142=0,"","п")</f>
        <v>п</v>
      </c>
      <c r="B142" s="155" t="s">
        <v>181</v>
      </c>
      <c r="C142" s="28"/>
      <c r="D142" s="186">
        <v>1218340</v>
      </c>
      <c r="E142" s="214">
        <v>8340</v>
      </c>
      <c r="F142" s="186" t="s">
        <v>202</v>
      </c>
      <c r="G142" s="187" t="s">
        <v>201</v>
      </c>
      <c r="H142" s="188"/>
      <c r="I142" s="189"/>
      <c r="J142" s="190">
        <f t="shared" si="22"/>
        <v>848400</v>
      </c>
      <c r="K142" s="191"/>
      <c r="L142" s="191">
        <f>120000+84000+644400</f>
        <v>848400</v>
      </c>
      <c r="M142" s="191"/>
      <c r="N142" s="30">
        <f>SUM(O142:W142)</f>
        <v>0</v>
      </c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2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2">
        <f>Y142+N142</f>
        <v>0</v>
      </c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196"/>
    </row>
    <row r="143" spans="1:59" s="33" customFormat="1" ht="130.5" hidden="1" customHeight="1" x14ac:dyDescent="0.3">
      <c r="A143" s="27" t="str">
        <f t="shared" si="24"/>
        <v/>
      </c>
      <c r="B143" s="28"/>
      <c r="C143" s="28"/>
      <c r="D143" s="170"/>
      <c r="E143" s="169"/>
      <c r="F143" s="170"/>
      <c r="G143" s="171"/>
      <c r="H143" s="171" t="s">
        <v>26</v>
      </c>
      <c r="I143" s="118" t="s">
        <v>229</v>
      </c>
      <c r="J143" s="29">
        <f>+K143+L143</f>
        <v>0</v>
      </c>
      <c r="K143" s="29">
        <f>+K144</f>
        <v>0</v>
      </c>
      <c r="L143" s="45"/>
      <c r="M143" s="45"/>
      <c r="N143" s="30">
        <f>SUM(O143:W143)</f>
        <v>0</v>
      </c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2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2">
        <f>Y143+N143</f>
        <v>0</v>
      </c>
      <c r="BG143" s="107"/>
    </row>
    <row r="144" spans="1:59" s="44" customFormat="1" ht="20.25" hidden="1" thickBot="1" x14ac:dyDescent="0.3">
      <c r="A144" s="27" t="str">
        <f t="shared" si="24"/>
        <v/>
      </c>
      <c r="B144" s="28" t="s">
        <v>178</v>
      </c>
      <c r="C144" s="28"/>
      <c r="D144" s="177" t="s">
        <v>29</v>
      </c>
      <c r="E144" s="177"/>
      <c r="F144" s="177"/>
      <c r="G144" s="179" t="s">
        <v>3</v>
      </c>
      <c r="H144" s="373"/>
      <c r="I144" s="120"/>
      <c r="J144" s="47">
        <f>+K144+L144</f>
        <v>0</v>
      </c>
      <c r="K144" s="60">
        <f>SUM(K146)</f>
        <v>0</v>
      </c>
      <c r="L144" s="66"/>
      <c r="M144" s="66"/>
      <c r="N144" s="30">
        <f>SUM(O144:W144)</f>
        <v>0</v>
      </c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32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32">
        <f>Y144+N144</f>
        <v>0</v>
      </c>
      <c r="BG144" s="107"/>
    </row>
    <row r="145" spans="1:59" s="44" customFormat="1" ht="20.25" hidden="1" thickBot="1" x14ac:dyDescent="0.3">
      <c r="A145" s="27" t="str">
        <f t="shared" si="24"/>
        <v/>
      </c>
      <c r="B145" s="28" t="s">
        <v>178</v>
      </c>
      <c r="C145" s="28"/>
      <c r="D145" s="177" t="s">
        <v>28</v>
      </c>
      <c r="E145" s="177"/>
      <c r="F145" s="177"/>
      <c r="G145" s="179" t="s">
        <v>3</v>
      </c>
      <c r="H145" s="248"/>
      <c r="I145" s="121"/>
      <c r="J145" s="143">
        <f>+K145+L145</f>
        <v>0</v>
      </c>
      <c r="K145" s="93">
        <f>+K146</f>
        <v>0</v>
      </c>
      <c r="L145" s="94"/>
      <c r="M145" s="94"/>
      <c r="N145" s="30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32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32"/>
      <c r="BG145" s="107"/>
    </row>
    <row r="146" spans="1:59" s="33" customFormat="1" ht="57" hidden="1" thickBot="1" x14ac:dyDescent="0.3">
      <c r="A146" s="27" t="str">
        <f t="shared" si="24"/>
        <v/>
      </c>
      <c r="B146" s="28" t="s">
        <v>178</v>
      </c>
      <c r="C146" s="103"/>
      <c r="D146" s="210" t="s">
        <v>98</v>
      </c>
      <c r="E146" s="185">
        <v>9800</v>
      </c>
      <c r="F146" s="186" t="s">
        <v>156</v>
      </c>
      <c r="G146" s="187" t="s">
        <v>100</v>
      </c>
      <c r="H146" s="214"/>
      <c r="I146" s="111"/>
      <c r="J146" s="43">
        <f>+K146+L146</f>
        <v>0</v>
      </c>
      <c r="K146" s="43"/>
      <c r="L146" s="43"/>
      <c r="M146" s="43"/>
      <c r="N146" s="30">
        <f>SUM(O146:W146)</f>
        <v>0</v>
      </c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2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2">
        <f>Y146+N146</f>
        <v>0</v>
      </c>
      <c r="BG146" s="107"/>
    </row>
    <row r="147" spans="1:59" s="195" customFormat="1" ht="60" customHeight="1" x14ac:dyDescent="0.3">
      <c r="A147" s="154" t="str">
        <f t="shared" si="24"/>
        <v>п</v>
      </c>
      <c r="B147" s="155"/>
      <c r="C147" s="155"/>
      <c r="D147" s="170"/>
      <c r="E147" s="169"/>
      <c r="F147" s="170"/>
      <c r="G147" s="171"/>
      <c r="H147" s="171" t="s">
        <v>177</v>
      </c>
      <c r="I147" s="173" t="s">
        <v>298</v>
      </c>
      <c r="J147" s="175">
        <f>J151+J148</f>
        <v>3100000</v>
      </c>
      <c r="K147" s="175">
        <f>K151+K148</f>
        <v>3100000</v>
      </c>
      <c r="L147" s="175">
        <f>L151+L148</f>
        <v>0</v>
      </c>
      <c r="M147" s="175">
        <f>M151+M148</f>
        <v>0</v>
      </c>
      <c r="N147" s="382">
        <f>SUM(O147:W147)</f>
        <v>0</v>
      </c>
      <c r="O147" s="433"/>
      <c r="P147" s="433"/>
      <c r="Q147" s="433"/>
      <c r="R147" s="433"/>
      <c r="S147" s="433"/>
      <c r="T147" s="433"/>
      <c r="U147" s="433"/>
      <c r="V147" s="433"/>
      <c r="W147" s="433"/>
      <c r="X147" s="433"/>
      <c r="Y147" s="383"/>
      <c r="Z147" s="433"/>
      <c r="AA147" s="433"/>
      <c r="AB147" s="433"/>
      <c r="AC147" s="433"/>
      <c r="AD147" s="433"/>
      <c r="AE147" s="433"/>
      <c r="AF147" s="433"/>
      <c r="AG147" s="433"/>
      <c r="AH147" s="433"/>
      <c r="AI147" s="433"/>
      <c r="AJ147" s="433"/>
      <c r="AK147" s="383">
        <f>Y147+N147</f>
        <v>0</v>
      </c>
      <c r="BG147" s="196"/>
    </row>
    <row r="148" spans="1:59" s="195" customFormat="1" ht="51.75" customHeight="1" x14ac:dyDescent="0.3">
      <c r="A148" s="154" t="str">
        <f t="shared" ref="A148:A150" si="35">IF(J148=0,"","п")</f>
        <v>п</v>
      </c>
      <c r="B148" s="155" t="s">
        <v>178</v>
      </c>
      <c r="C148" s="155"/>
      <c r="D148" s="177" t="s">
        <v>29</v>
      </c>
      <c r="E148" s="178"/>
      <c r="F148" s="178"/>
      <c r="G148" s="179" t="s">
        <v>3</v>
      </c>
      <c r="H148" s="278"/>
      <c r="I148" s="280"/>
      <c r="J148" s="282">
        <f t="shared" ref="J148:J150" si="36">+K148+L148</f>
        <v>3100000</v>
      </c>
      <c r="K148" s="282">
        <f t="shared" ref="K148:M149" si="37">K149</f>
        <v>3100000</v>
      </c>
      <c r="L148" s="282">
        <f t="shared" si="37"/>
        <v>0</v>
      </c>
      <c r="M148" s="282">
        <f t="shared" si="37"/>
        <v>0</v>
      </c>
      <c r="N148" s="382"/>
      <c r="O148" s="433"/>
      <c r="P148" s="433"/>
      <c r="Q148" s="433"/>
      <c r="R148" s="433"/>
      <c r="S148" s="433"/>
      <c r="T148" s="433"/>
      <c r="U148" s="433"/>
      <c r="V148" s="433"/>
      <c r="W148" s="433"/>
      <c r="X148" s="433"/>
      <c r="Y148" s="383"/>
      <c r="Z148" s="433"/>
      <c r="AA148" s="433"/>
      <c r="AB148" s="433"/>
      <c r="AC148" s="433"/>
      <c r="AD148" s="433"/>
      <c r="AE148" s="433"/>
      <c r="AF148" s="433"/>
      <c r="AG148" s="433"/>
      <c r="AH148" s="433"/>
      <c r="AI148" s="433"/>
      <c r="AJ148" s="433"/>
      <c r="AK148" s="383"/>
      <c r="BG148" s="196"/>
    </row>
    <row r="149" spans="1:59" s="195" customFormat="1" ht="45.75" customHeight="1" x14ac:dyDescent="0.3">
      <c r="A149" s="154" t="str">
        <f t="shared" si="35"/>
        <v>п</v>
      </c>
      <c r="B149" s="155" t="s">
        <v>178</v>
      </c>
      <c r="C149" s="155"/>
      <c r="D149" s="177" t="s">
        <v>28</v>
      </c>
      <c r="E149" s="178"/>
      <c r="F149" s="178"/>
      <c r="G149" s="179" t="s">
        <v>3</v>
      </c>
      <c r="H149" s="278"/>
      <c r="I149" s="280"/>
      <c r="J149" s="282">
        <f t="shared" si="36"/>
        <v>3100000</v>
      </c>
      <c r="K149" s="282">
        <f t="shared" si="37"/>
        <v>3100000</v>
      </c>
      <c r="L149" s="282">
        <f t="shared" si="37"/>
        <v>0</v>
      </c>
      <c r="M149" s="282">
        <f t="shared" si="37"/>
        <v>0</v>
      </c>
      <c r="N149" s="382"/>
      <c r="O149" s="433"/>
      <c r="P149" s="433"/>
      <c r="Q149" s="433"/>
      <c r="R149" s="433"/>
      <c r="S149" s="433"/>
      <c r="T149" s="433"/>
      <c r="U149" s="433"/>
      <c r="V149" s="433"/>
      <c r="W149" s="433"/>
      <c r="X149" s="433"/>
      <c r="Y149" s="383"/>
      <c r="Z149" s="433"/>
      <c r="AA149" s="433"/>
      <c r="AB149" s="433"/>
      <c r="AC149" s="433"/>
      <c r="AD149" s="433"/>
      <c r="AE149" s="433"/>
      <c r="AF149" s="433"/>
      <c r="AG149" s="433"/>
      <c r="AH149" s="433"/>
      <c r="AI149" s="433"/>
      <c r="AJ149" s="433"/>
      <c r="AK149" s="383"/>
      <c r="BG149" s="196"/>
    </row>
    <row r="150" spans="1:59" s="195" customFormat="1" ht="42.75" customHeight="1" thickBot="1" x14ac:dyDescent="0.35">
      <c r="A150" s="154" t="str">
        <f t="shared" si="35"/>
        <v>п</v>
      </c>
      <c r="B150" s="155" t="s">
        <v>178</v>
      </c>
      <c r="C150" s="155"/>
      <c r="D150" s="210" t="s">
        <v>186</v>
      </c>
      <c r="E150" s="185" t="s">
        <v>187</v>
      </c>
      <c r="F150" s="186" t="s">
        <v>159</v>
      </c>
      <c r="G150" s="187" t="s">
        <v>86</v>
      </c>
      <c r="H150" s="278"/>
      <c r="I150" s="280"/>
      <c r="J150" s="266">
        <f t="shared" si="36"/>
        <v>3100000</v>
      </c>
      <c r="K150" s="266">
        <f>3500000-400000</f>
        <v>3100000</v>
      </c>
      <c r="L150" s="266"/>
      <c r="M150" s="282"/>
      <c r="N150" s="382"/>
      <c r="O150" s="433"/>
      <c r="P150" s="433"/>
      <c r="Q150" s="433"/>
      <c r="R150" s="433"/>
      <c r="S150" s="433"/>
      <c r="T150" s="433"/>
      <c r="U150" s="433"/>
      <c r="V150" s="433"/>
      <c r="W150" s="433"/>
      <c r="X150" s="433"/>
      <c r="Y150" s="383"/>
      <c r="Z150" s="433"/>
      <c r="AA150" s="433"/>
      <c r="AB150" s="433"/>
      <c r="AC150" s="433"/>
      <c r="AD150" s="433"/>
      <c r="AE150" s="433"/>
      <c r="AF150" s="433"/>
      <c r="AG150" s="433"/>
      <c r="AH150" s="433"/>
      <c r="AI150" s="433"/>
      <c r="AJ150" s="433"/>
      <c r="AK150" s="383"/>
      <c r="BG150" s="196"/>
    </row>
    <row r="151" spans="1:59" s="44" customFormat="1" ht="59.25" hidden="1" thickBot="1" x14ac:dyDescent="0.3">
      <c r="A151" s="27" t="str">
        <f t="shared" si="24"/>
        <v/>
      </c>
      <c r="B151" s="28" t="s">
        <v>181</v>
      </c>
      <c r="C151" s="28"/>
      <c r="D151" s="223" t="s">
        <v>62</v>
      </c>
      <c r="E151" s="198"/>
      <c r="F151" s="198"/>
      <c r="G151" s="199" t="s">
        <v>9</v>
      </c>
      <c r="H151" s="373"/>
      <c r="I151" s="120"/>
      <c r="J151" s="502">
        <f t="shared" ref="J151:J180" si="38">+K151+L151</f>
        <v>0</v>
      </c>
      <c r="K151" s="502">
        <f>+K152</f>
        <v>0</v>
      </c>
      <c r="L151" s="66">
        <f>L152</f>
        <v>0</v>
      </c>
      <c r="M151" s="66">
        <f>+M152</f>
        <v>0</v>
      </c>
      <c r="N151" s="30">
        <f>N152</f>
        <v>0</v>
      </c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32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32">
        <f>Y151+N151</f>
        <v>0</v>
      </c>
      <c r="BG151" s="107"/>
    </row>
    <row r="152" spans="1:59" s="44" customFormat="1" ht="59.25" hidden="1" thickBot="1" x14ac:dyDescent="0.3">
      <c r="A152" s="27" t="str">
        <f t="shared" si="24"/>
        <v/>
      </c>
      <c r="B152" s="28" t="s">
        <v>181</v>
      </c>
      <c r="C152" s="28"/>
      <c r="D152" s="223" t="s">
        <v>63</v>
      </c>
      <c r="E152" s="198"/>
      <c r="F152" s="198"/>
      <c r="G152" s="199" t="s">
        <v>9</v>
      </c>
      <c r="H152" s="248"/>
      <c r="I152" s="121"/>
      <c r="J152" s="503">
        <f>+J153+J156+J154</f>
        <v>0</v>
      </c>
      <c r="K152" s="503">
        <f>SUM(K153:K156)</f>
        <v>0</v>
      </c>
      <c r="L152" s="93">
        <f>SUM(L153:L156)</f>
        <v>0</v>
      </c>
      <c r="M152" s="93">
        <f>SUM(M153:M156)</f>
        <v>0</v>
      </c>
      <c r="N152" s="30">
        <f>N153</f>
        <v>0</v>
      </c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32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32"/>
      <c r="BG152" s="107"/>
    </row>
    <row r="153" spans="1:59" s="33" customFormat="1" ht="26.25" hidden="1" customHeight="1" x14ac:dyDescent="0.3">
      <c r="A153" s="27" t="str">
        <f t="shared" si="24"/>
        <v/>
      </c>
      <c r="B153" s="28" t="s">
        <v>181</v>
      </c>
      <c r="C153" s="28"/>
      <c r="D153" s="368">
        <v>1217321</v>
      </c>
      <c r="E153" s="232">
        <v>7321</v>
      </c>
      <c r="F153" s="209" t="s">
        <v>154</v>
      </c>
      <c r="G153" s="442" t="s">
        <v>185</v>
      </c>
      <c r="H153" s="232"/>
      <c r="I153" s="112"/>
      <c r="J153" s="41">
        <f t="shared" si="38"/>
        <v>0</v>
      </c>
      <c r="K153" s="41"/>
      <c r="L153" s="41"/>
      <c r="M153" s="41"/>
      <c r="N153" s="30">
        <f>SUM(O153:W153)</f>
        <v>0</v>
      </c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2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2">
        <f>Y153+N153</f>
        <v>0</v>
      </c>
      <c r="BG153" s="107"/>
    </row>
    <row r="154" spans="1:59" s="195" customFormat="1" ht="41.25" hidden="1" customHeight="1" thickBot="1" x14ac:dyDescent="0.35">
      <c r="A154" s="154" t="str">
        <f t="shared" si="24"/>
        <v/>
      </c>
      <c r="B154" s="155" t="s">
        <v>181</v>
      </c>
      <c r="C154" s="102"/>
      <c r="D154" s="210" t="s">
        <v>336</v>
      </c>
      <c r="E154" s="185">
        <v>6017</v>
      </c>
      <c r="F154" s="186" t="s">
        <v>151</v>
      </c>
      <c r="G154" s="187" t="s">
        <v>337</v>
      </c>
      <c r="H154" s="263"/>
      <c r="I154" s="264"/>
      <c r="J154" s="265">
        <f t="shared" si="38"/>
        <v>0</v>
      </c>
      <c r="K154" s="266">
        <f>400000-400000</f>
        <v>0</v>
      </c>
      <c r="L154" s="266"/>
      <c r="M154" s="266"/>
      <c r="N154" s="67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9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9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196"/>
    </row>
    <row r="155" spans="1:59" s="33" customFormat="1" ht="38.25" hidden="1" thickBot="1" x14ac:dyDescent="0.3">
      <c r="A155" s="27" t="str">
        <f>IF(J155=0,"","п")</f>
        <v/>
      </c>
      <c r="B155" s="28" t="s">
        <v>181</v>
      </c>
      <c r="C155" s="28"/>
      <c r="D155" s="210">
        <v>1217310</v>
      </c>
      <c r="E155" s="214">
        <v>7310</v>
      </c>
      <c r="F155" s="186" t="s">
        <v>154</v>
      </c>
      <c r="G155" s="213" t="s">
        <v>84</v>
      </c>
      <c r="H155" s="214"/>
      <c r="I155" s="111"/>
      <c r="J155" s="37">
        <f>+K155+L155</f>
        <v>0</v>
      </c>
      <c r="K155" s="37"/>
      <c r="L155" s="37"/>
      <c r="M155" s="37"/>
      <c r="N155" s="30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2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2"/>
      <c r="BG155" s="107"/>
    </row>
    <row r="156" spans="1:59" s="33" customFormat="1" ht="19.5" hidden="1" thickBot="1" x14ac:dyDescent="0.3">
      <c r="A156" s="27" t="str">
        <f t="shared" si="24"/>
        <v/>
      </c>
      <c r="B156" s="28" t="s">
        <v>181</v>
      </c>
      <c r="C156" s="28"/>
      <c r="D156" s="277" t="s">
        <v>139</v>
      </c>
      <c r="E156" s="273" t="s">
        <v>140</v>
      </c>
      <c r="F156" s="277" t="s">
        <v>154</v>
      </c>
      <c r="G156" s="285" t="s">
        <v>141</v>
      </c>
      <c r="H156" s="263"/>
      <c r="I156" s="123"/>
      <c r="J156" s="136">
        <f>+K156+L156</f>
        <v>0</v>
      </c>
      <c r="K156" s="49"/>
      <c r="L156" s="150"/>
      <c r="M156" s="150"/>
      <c r="N156" s="30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2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2"/>
      <c r="BG156" s="107"/>
    </row>
    <row r="157" spans="1:59" s="195" customFormat="1" ht="61.5" customHeight="1" x14ac:dyDescent="0.3">
      <c r="A157" s="154" t="str">
        <f t="shared" si="24"/>
        <v>п</v>
      </c>
      <c r="B157" s="155"/>
      <c r="C157" s="28"/>
      <c r="D157" s="170"/>
      <c r="E157" s="169"/>
      <c r="F157" s="170"/>
      <c r="G157" s="171"/>
      <c r="H157" s="172" t="s">
        <v>269</v>
      </c>
      <c r="I157" s="173" t="s">
        <v>270</v>
      </c>
      <c r="J157" s="174">
        <f t="shared" si="38"/>
        <v>41941626.230000004</v>
      </c>
      <c r="K157" s="175">
        <f>+K158+K181+K184</f>
        <v>36570594</v>
      </c>
      <c r="L157" s="176">
        <f>+L158+L181+L184</f>
        <v>5371032.2300000004</v>
      </c>
      <c r="M157" s="176">
        <f>+M158+M181+M184</f>
        <v>5371032.2300000004</v>
      </c>
      <c r="N157" s="30">
        <f>SUM(O157:W157)</f>
        <v>0</v>
      </c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2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2">
        <f>Y157+N157</f>
        <v>0</v>
      </c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196"/>
    </row>
    <row r="158" spans="1:59" s="197" customFormat="1" ht="58.5" x14ac:dyDescent="0.3">
      <c r="A158" s="154" t="str">
        <f t="shared" si="24"/>
        <v>п</v>
      </c>
      <c r="B158" s="155" t="s">
        <v>181</v>
      </c>
      <c r="C158" s="28"/>
      <c r="D158" s="223" t="s">
        <v>62</v>
      </c>
      <c r="E158" s="198"/>
      <c r="F158" s="198"/>
      <c r="G158" s="199" t="s">
        <v>9</v>
      </c>
      <c r="H158" s="200"/>
      <c r="I158" s="201"/>
      <c r="J158" s="202">
        <f t="shared" si="38"/>
        <v>41941626.230000004</v>
      </c>
      <c r="K158" s="203">
        <f>+K159</f>
        <v>36570594</v>
      </c>
      <c r="L158" s="203">
        <f>+L159</f>
        <v>5371032.2300000004</v>
      </c>
      <c r="M158" s="203">
        <f>+M159</f>
        <v>5371032.2300000004</v>
      </c>
      <c r="N158" s="30">
        <f>SUM(O158:W158)</f>
        <v>0</v>
      </c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32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32">
        <f>Y158+N158</f>
        <v>0</v>
      </c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196"/>
    </row>
    <row r="159" spans="1:59" s="197" customFormat="1" ht="58.5" x14ac:dyDescent="0.3">
      <c r="A159" s="154" t="str">
        <f t="shared" si="24"/>
        <v>п</v>
      </c>
      <c r="B159" s="155" t="s">
        <v>181</v>
      </c>
      <c r="C159" s="28"/>
      <c r="D159" s="223" t="s">
        <v>63</v>
      </c>
      <c r="E159" s="198"/>
      <c r="F159" s="198"/>
      <c r="G159" s="199" t="s">
        <v>9</v>
      </c>
      <c r="H159" s="200"/>
      <c r="I159" s="201"/>
      <c r="J159" s="202">
        <f t="shared" si="38"/>
        <v>41941626.230000004</v>
      </c>
      <c r="K159" s="203">
        <f>SUM(K160:K180)-K161-K165-K176</f>
        <v>36570594</v>
      </c>
      <c r="L159" s="203">
        <f>SUM(L160:L180)-L161-L165-L176</f>
        <v>5371032.2300000004</v>
      </c>
      <c r="M159" s="203">
        <f>SUM(M160:M180)-M161-M165-M176</f>
        <v>5371032.2300000004</v>
      </c>
      <c r="N159" s="30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32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32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196"/>
    </row>
    <row r="160" spans="1:59" s="195" customFormat="1" ht="41.25" customHeight="1" x14ac:dyDescent="0.3">
      <c r="A160" s="154" t="str">
        <f t="shared" si="24"/>
        <v>п</v>
      </c>
      <c r="B160" s="155" t="s">
        <v>181</v>
      </c>
      <c r="C160" s="102"/>
      <c r="D160" s="210" t="s">
        <v>134</v>
      </c>
      <c r="E160" s="185" t="s">
        <v>187</v>
      </c>
      <c r="F160" s="186" t="s">
        <v>159</v>
      </c>
      <c r="G160" s="187" t="s">
        <v>86</v>
      </c>
      <c r="H160" s="263"/>
      <c r="I160" s="264"/>
      <c r="J160" s="265">
        <f t="shared" si="38"/>
        <v>32984</v>
      </c>
      <c r="K160" s="266">
        <v>32984</v>
      </c>
      <c r="L160" s="266"/>
      <c r="M160" s="266"/>
      <c r="N160" s="67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9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9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196"/>
    </row>
    <row r="161" spans="1:59" s="87" customFormat="1" hidden="1" x14ac:dyDescent="0.3">
      <c r="A161" s="27" t="str">
        <f t="shared" si="24"/>
        <v/>
      </c>
      <c r="B161" s="28" t="s">
        <v>181</v>
      </c>
      <c r="C161" s="104"/>
      <c r="D161" s="460"/>
      <c r="E161" s="362"/>
      <c r="F161" s="287"/>
      <c r="G161" s="217" t="s">
        <v>22</v>
      </c>
      <c r="H161" s="370"/>
      <c r="I161" s="122"/>
      <c r="J161" s="135">
        <f t="shared" si="38"/>
        <v>0</v>
      </c>
      <c r="K161" s="83"/>
      <c r="L161" s="82"/>
      <c r="M161" s="49"/>
      <c r="N161" s="84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6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6"/>
      <c r="BG161" s="107"/>
    </row>
    <row r="162" spans="1:59" s="33" customFormat="1" ht="37.5" hidden="1" x14ac:dyDescent="0.25">
      <c r="A162" s="27" t="str">
        <f t="shared" si="24"/>
        <v/>
      </c>
      <c r="B162" s="28" t="s">
        <v>181</v>
      </c>
      <c r="C162" s="103"/>
      <c r="D162" s="365" t="s">
        <v>203</v>
      </c>
      <c r="E162" s="277" t="s">
        <v>204</v>
      </c>
      <c r="F162" s="277" t="s">
        <v>131</v>
      </c>
      <c r="G162" s="390" t="s">
        <v>205</v>
      </c>
      <c r="H162" s="263"/>
      <c r="I162" s="123"/>
      <c r="J162" s="136">
        <f t="shared" si="38"/>
        <v>0</v>
      </c>
      <c r="K162" s="49"/>
      <c r="L162" s="146"/>
      <c r="M162" s="146"/>
      <c r="N162" s="30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2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2"/>
      <c r="BG162" s="107"/>
    </row>
    <row r="163" spans="1:59" s="33" customFormat="1" ht="37.5" hidden="1" x14ac:dyDescent="0.25">
      <c r="A163" s="27" t="str">
        <f>IF(J163=0,"","п")</f>
        <v/>
      </c>
      <c r="B163" s="28" t="s">
        <v>181</v>
      </c>
      <c r="C163" s="103"/>
      <c r="D163" s="365" t="s">
        <v>136</v>
      </c>
      <c r="E163" s="277" t="s">
        <v>137</v>
      </c>
      <c r="F163" s="277" t="s">
        <v>151</v>
      </c>
      <c r="G163" s="390" t="s">
        <v>138</v>
      </c>
      <c r="H163" s="263"/>
      <c r="I163" s="123"/>
      <c r="J163" s="136">
        <f>+K163+L163</f>
        <v>0</v>
      </c>
      <c r="K163" s="49"/>
      <c r="L163" s="49"/>
      <c r="M163" s="49"/>
      <c r="N163" s="30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2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2"/>
      <c r="BG163" s="107"/>
    </row>
    <row r="164" spans="1:59" s="33" customFormat="1" ht="41.25" customHeight="1" x14ac:dyDescent="0.25">
      <c r="A164" s="27" t="str">
        <f t="shared" si="24"/>
        <v>п</v>
      </c>
      <c r="B164" s="155" t="s">
        <v>181</v>
      </c>
      <c r="C164" s="102"/>
      <c r="D164" s="365" t="s">
        <v>64</v>
      </c>
      <c r="E164" s="277" t="s">
        <v>65</v>
      </c>
      <c r="F164" s="277" t="s">
        <v>151</v>
      </c>
      <c r="G164" s="390" t="s">
        <v>66</v>
      </c>
      <c r="H164" s="263"/>
      <c r="I164" s="264"/>
      <c r="J164" s="265">
        <f t="shared" si="38"/>
        <v>996513</v>
      </c>
      <c r="K164" s="266">
        <f>833000+67000+96513</f>
        <v>996513</v>
      </c>
      <c r="L164" s="266"/>
      <c r="M164" s="266"/>
      <c r="N164" s="67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9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9"/>
      <c r="BG164" s="107"/>
    </row>
    <row r="165" spans="1:59" s="87" customFormat="1" hidden="1" x14ac:dyDescent="0.3">
      <c r="A165" s="27" t="str">
        <f t="shared" si="24"/>
        <v/>
      </c>
      <c r="B165" s="28" t="s">
        <v>181</v>
      </c>
      <c r="C165" s="104"/>
      <c r="D165" s="460"/>
      <c r="E165" s="362"/>
      <c r="F165" s="287"/>
      <c r="G165" s="217" t="s">
        <v>22</v>
      </c>
      <c r="H165" s="286"/>
      <c r="I165" s="122"/>
      <c r="J165" s="83">
        <f t="shared" si="38"/>
        <v>0</v>
      </c>
      <c r="K165" s="83"/>
      <c r="L165" s="82"/>
      <c r="M165" s="82"/>
      <c r="N165" s="84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6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6"/>
      <c r="BG165" s="107"/>
    </row>
    <row r="166" spans="1:59" s="33" customFormat="1" hidden="1" x14ac:dyDescent="0.25">
      <c r="A166" s="27" t="str">
        <f t="shared" si="24"/>
        <v/>
      </c>
      <c r="B166" s="28" t="s">
        <v>181</v>
      </c>
      <c r="C166" s="103"/>
      <c r="D166" s="365"/>
      <c r="E166" s="366"/>
      <c r="F166" s="277"/>
      <c r="G166" s="390"/>
      <c r="H166" s="273"/>
      <c r="I166" s="123"/>
      <c r="J166" s="49">
        <f t="shared" si="38"/>
        <v>0</v>
      </c>
      <c r="K166" s="49">
        <f>+K167+K168</f>
        <v>0</v>
      </c>
      <c r="L166" s="48">
        <f>+L167+L168</f>
        <v>0</v>
      </c>
      <c r="M166" s="48"/>
      <c r="N166" s="30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2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2"/>
      <c r="BG166" s="107"/>
    </row>
    <row r="167" spans="1:59" s="33" customFormat="1" ht="21.75" hidden="1" customHeight="1" x14ac:dyDescent="0.25">
      <c r="A167" s="27" t="str">
        <f t="shared" si="24"/>
        <v/>
      </c>
      <c r="B167" s="28" t="s">
        <v>181</v>
      </c>
      <c r="C167" s="28"/>
      <c r="D167" s="186"/>
      <c r="E167" s="214"/>
      <c r="F167" s="186"/>
      <c r="G167" s="187"/>
      <c r="H167" s="214"/>
      <c r="I167" s="111"/>
      <c r="J167" s="37">
        <f t="shared" si="38"/>
        <v>0</v>
      </c>
      <c r="K167" s="37"/>
      <c r="L167" s="37"/>
      <c r="M167" s="37"/>
      <c r="N167" s="30">
        <f>SUM(O167:W167)</f>
        <v>0</v>
      </c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2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2">
        <f>Y167+N167</f>
        <v>0</v>
      </c>
      <c r="BG167" s="107"/>
    </row>
    <row r="168" spans="1:59" s="33" customFormat="1" ht="35.25" hidden="1" customHeight="1" x14ac:dyDescent="0.25">
      <c r="A168" s="27" t="str">
        <f t="shared" si="24"/>
        <v/>
      </c>
      <c r="B168" s="28" t="s">
        <v>181</v>
      </c>
      <c r="C168" s="28"/>
      <c r="D168" s="186"/>
      <c r="E168" s="214"/>
      <c r="F168" s="186"/>
      <c r="G168" s="187"/>
      <c r="H168" s="214"/>
      <c r="I168" s="111"/>
      <c r="J168" s="37">
        <f t="shared" si="38"/>
        <v>0</v>
      </c>
      <c r="K168" s="37"/>
      <c r="L168" s="37"/>
      <c r="M168" s="37"/>
      <c r="N168" s="30">
        <f>SUM(O168:W168)</f>
        <v>0</v>
      </c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2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2">
        <f>Y168+N168</f>
        <v>0</v>
      </c>
      <c r="BG168" s="107"/>
    </row>
    <row r="169" spans="1:59" s="87" customFormat="1" hidden="1" x14ac:dyDescent="0.3">
      <c r="A169" s="27" t="str">
        <f t="shared" si="24"/>
        <v/>
      </c>
      <c r="B169" s="28" t="s">
        <v>181</v>
      </c>
      <c r="C169" s="104"/>
      <c r="D169" s="460"/>
      <c r="E169" s="362"/>
      <c r="F169" s="287"/>
      <c r="G169" s="217"/>
      <c r="H169" s="286"/>
      <c r="I169" s="122"/>
      <c r="J169" s="83">
        <f t="shared" si="38"/>
        <v>0</v>
      </c>
      <c r="K169" s="83"/>
      <c r="L169" s="82">
        <f>5000+10000-15000</f>
        <v>0</v>
      </c>
      <c r="M169" s="82"/>
      <c r="N169" s="84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6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6"/>
      <c r="BG169" s="107"/>
    </row>
    <row r="170" spans="1:59" s="33" customFormat="1" ht="35.25" hidden="1" customHeight="1" x14ac:dyDescent="0.25">
      <c r="A170" s="27" t="str">
        <f t="shared" si="24"/>
        <v/>
      </c>
      <c r="B170" s="28" t="s">
        <v>181</v>
      </c>
      <c r="C170" s="28"/>
      <c r="D170" s="186"/>
      <c r="E170" s="214"/>
      <c r="F170" s="186"/>
      <c r="G170" s="187"/>
      <c r="H170" s="214"/>
      <c r="I170" s="111"/>
      <c r="J170" s="37">
        <f t="shared" si="38"/>
        <v>0</v>
      </c>
      <c r="K170" s="37">
        <f>+K171+K172</f>
        <v>0</v>
      </c>
      <c r="L170" s="35">
        <f>+L171+L172</f>
        <v>0</v>
      </c>
      <c r="M170" s="35"/>
      <c r="N170" s="30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2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2"/>
      <c r="BG170" s="107"/>
    </row>
    <row r="171" spans="1:59" s="33" customFormat="1" ht="18.75" hidden="1" customHeight="1" x14ac:dyDescent="0.25">
      <c r="A171" s="27" t="str">
        <f t="shared" si="24"/>
        <v/>
      </c>
      <c r="B171" s="28" t="s">
        <v>181</v>
      </c>
      <c r="C171" s="28"/>
      <c r="D171" s="186"/>
      <c r="E171" s="214"/>
      <c r="F171" s="186"/>
      <c r="G171" s="187"/>
      <c r="H171" s="214"/>
      <c r="I171" s="111"/>
      <c r="J171" s="37">
        <f t="shared" si="38"/>
        <v>0</v>
      </c>
      <c r="K171" s="37"/>
      <c r="L171" s="37"/>
      <c r="M171" s="37"/>
      <c r="N171" s="30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2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2"/>
      <c r="BG171" s="107"/>
    </row>
    <row r="172" spans="1:59" s="33" customFormat="1" ht="36" hidden="1" customHeight="1" x14ac:dyDescent="0.25">
      <c r="A172" s="27" t="str">
        <f t="shared" si="24"/>
        <v/>
      </c>
      <c r="B172" s="28" t="s">
        <v>181</v>
      </c>
      <c r="C172" s="28"/>
      <c r="D172" s="186"/>
      <c r="E172" s="214"/>
      <c r="F172" s="186"/>
      <c r="G172" s="187"/>
      <c r="H172" s="214"/>
      <c r="I172" s="111"/>
      <c r="J172" s="37">
        <f t="shared" si="38"/>
        <v>0</v>
      </c>
      <c r="K172" s="37"/>
      <c r="L172" s="37"/>
      <c r="M172" s="37"/>
      <c r="N172" s="30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2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2"/>
      <c r="BG172" s="107"/>
    </row>
    <row r="173" spans="1:59" s="33" customFormat="1" ht="21.95" hidden="1" customHeight="1" x14ac:dyDescent="0.25">
      <c r="A173" s="27" t="str">
        <f t="shared" si="24"/>
        <v/>
      </c>
      <c r="B173" s="28" t="s">
        <v>181</v>
      </c>
      <c r="C173" s="28"/>
      <c r="D173" s="186"/>
      <c r="E173" s="214"/>
      <c r="F173" s="186"/>
      <c r="G173" s="187"/>
      <c r="H173" s="214"/>
      <c r="I173" s="111"/>
      <c r="J173" s="37">
        <f t="shared" si="38"/>
        <v>0</v>
      </c>
      <c r="K173" s="37"/>
      <c r="L173" s="37"/>
      <c r="M173" s="37"/>
      <c r="N173" s="30">
        <f>SUM(O173:W173)</f>
        <v>0</v>
      </c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2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2">
        <f>Y173+N173</f>
        <v>0</v>
      </c>
      <c r="BG173" s="107"/>
    </row>
    <row r="174" spans="1:59" s="33" customFormat="1" ht="56.25" hidden="1" x14ac:dyDescent="0.25">
      <c r="A174" s="27" t="str">
        <f t="shared" si="24"/>
        <v/>
      </c>
      <c r="B174" s="28" t="s">
        <v>181</v>
      </c>
      <c r="C174" s="28"/>
      <c r="D174" s="186" t="s">
        <v>67</v>
      </c>
      <c r="E174" s="451" t="s">
        <v>68</v>
      </c>
      <c r="F174" s="387" t="s">
        <v>151</v>
      </c>
      <c r="G174" s="187" t="s">
        <v>69</v>
      </c>
      <c r="H174" s="188"/>
      <c r="I174" s="111"/>
      <c r="J174" s="129">
        <f t="shared" si="38"/>
        <v>0</v>
      </c>
      <c r="K174" s="37">
        <f>30740-30740</f>
        <v>0</v>
      </c>
      <c r="L174" s="37"/>
      <c r="M174" s="37"/>
      <c r="N174" s="30">
        <f>SUM(O174:W174)</f>
        <v>0</v>
      </c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2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2">
        <f>Y174+N174</f>
        <v>0</v>
      </c>
      <c r="BG174" s="107"/>
    </row>
    <row r="175" spans="1:59" s="195" customFormat="1" ht="27.75" customHeight="1" x14ac:dyDescent="0.3">
      <c r="A175" s="154" t="str">
        <f t="shared" si="24"/>
        <v>п</v>
      </c>
      <c r="B175" s="155" t="s">
        <v>181</v>
      </c>
      <c r="C175" s="28"/>
      <c r="D175" s="186" t="s">
        <v>70</v>
      </c>
      <c r="E175" s="214" t="s">
        <v>71</v>
      </c>
      <c r="F175" s="186" t="s">
        <v>151</v>
      </c>
      <c r="G175" s="187" t="s">
        <v>72</v>
      </c>
      <c r="H175" s="188"/>
      <c r="I175" s="189"/>
      <c r="J175" s="190">
        <f>+K175+L175</f>
        <v>37435897</v>
      </c>
      <c r="K175" s="191">
        <f>23991835+1650000+300000+49990+18468+2115150+3000000+1000000-194800-312724+49921+2544230+197000+1200770+49990+49900+300000-1408670+250000+40000+14000+15000+67813+49900+49900+1060104+99800-163000-543480</f>
        <v>35541097</v>
      </c>
      <c r="L175" s="191">
        <f>(580000+470000+200000+150000+150000+150000)+194800</f>
        <v>1894800</v>
      </c>
      <c r="M175" s="191">
        <f>(580000+470000+200000+150000+150000+150000)+194800</f>
        <v>1894800</v>
      </c>
      <c r="N175" s="30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2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2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196"/>
    </row>
    <row r="176" spans="1:59" s="233" customFormat="1" ht="39" customHeight="1" x14ac:dyDescent="0.3">
      <c r="A176" s="154" t="str">
        <f t="shared" ref="A176" si="39">IF(J176=0,"","п")</f>
        <v>п</v>
      </c>
      <c r="B176" s="155" t="s">
        <v>181</v>
      </c>
      <c r="C176" s="455"/>
      <c r="D176" s="216"/>
      <c r="E176" s="218"/>
      <c r="F176" s="216"/>
      <c r="G176" s="217" t="s">
        <v>22</v>
      </c>
      <c r="H176" s="284"/>
      <c r="I176" s="219"/>
      <c r="J176" s="220">
        <f t="shared" si="38"/>
        <v>1700000</v>
      </c>
      <c r="K176" s="221"/>
      <c r="L176" s="291">
        <f>1050000+200000+150000+150000+150000</f>
        <v>1700000</v>
      </c>
      <c r="M176" s="291">
        <f>1050000+200000+150000+150000+150000</f>
        <v>1700000</v>
      </c>
      <c r="N176" s="106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  <c r="AC176" s="88"/>
      <c r="AD176" s="88"/>
      <c r="AE176" s="88"/>
      <c r="AF176" s="88"/>
      <c r="AG176" s="88"/>
      <c r="AH176" s="88"/>
      <c r="AI176" s="88"/>
      <c r="AJ176" s="88"/>
      <c r="AK176" s="88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456"/>
    </row>
    <row r="177" spans="1:59" s="195" customFormat="1" ht="39" hidden="1" customHeight="1" x14ac:dyDescent="0.3">
      <c r="A177" s="486" t="str">
        <f t="shared" ref="A177" si="40">IF(J177=0,"","п")</f>
        <v/>
      </c>
      <c r="B177" s="487" t="s">
        <v>181</v>
      </c>
      <c r="C177" s="102"/>
      <c r="D177" s="186" t="s">
        <v>333</v>
      </c>
      <c r="E177" s="214">
        <v>7130</v>
      </c>
      <c r="F177" s="186" t="s">
        <v>108</v>
      </c>
      <c r="G177" s="390" t="s">
        <v>109</v>
      </c>
      <c r="H177" s="188"/>
      <c r="I177" s="189"/>
      <c r="J177" s="190">
        <f>+K177+L177</f>
        <v>0</v>
      </c>
      <c r="K177" s="191"/>
      <c r="L177" s="266"/>
      <c r="M177" s="266"/>
      <c r="N177" s="67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485"/>
    </row>
    <row r="178" spans="1:59" s="195" customFormat="1" ht="38.25" thickBot="1" x14ac:dyDescent="0.35">
      <c r="A178" s="154" t="str">
        <f t="shared" si="24"/>
        <v>п</v>
      </c>
      <c r="B178" s="155" t="s">
        <v>181</v>
      </c>
      <c r="C178" s="28"/>
      <c r="D178" s="186" t="s">
        <v>82</v>
      </c>
      <c r="E178" s="214" t="s">
        <v>83</v>
      </c>
      <c r="F178" s="186" t="s">
        <v>154</v>
      </c>
      <c r="G178" s="187" t="s">
        <v>84</v>
      </c>
      <c r="H178" s="188"/>
      <c r="I178" s="189"/>
      <c r="J178" s="190">
        <f t="shared" si="38"/>
        <v>3476232.23</v>
      </c>
      <c r="K178" s="191"/>
      <c r="L178" s="266">
        <f>3250000-833000+250000+456136.25-578334.02-417000+827745.47+90063.53-5436+436057</f>
        <v>3476232.23</v>
      </c>
      <c r="M178" s="266">
        <f>3250000-833000+250000+456136.25-578334.02-417000+827745.47+90063.53-5436+436057</f>
        <v>3476232.23</v>
      </c>
      <c r="N178" s="30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2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2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196"/>
    </row>
    <row r="179" spans="1:59" s="33" customFormat="1" ht="62.25" hidden="1" customHeight="1" x14ac:dyDescent="0.3">
      <c r="A179" s="27" t="str">
        <f t="shared" si="24"/>
        <v/>
      </c>
      <c r="B179" s="28" t="s">
        <v>181</v>
      </c>
      <c r="C179" s="28"/>
      <c r="D179" s="186" t="s">
        <v>199</v>
      </c>
      <c r="E179" s="214">
        <v>7461</v>
      </c>
      <c r="F179" s="186" t="s">
        <v>155</v>
      </c>
      <c r="G179" s="187" t="s">
        <v>200</v>
      </c>
      <c r="H179" s="214"/>
      <c r="I179" s="111"/>
      <c r="J179" s="37">
        <f t="shared" si="38"/>
        <v>0</v>
      </c>
      <c r="K179" s="37"/>
      <c r="L179" s="37">
        <f>50000-50000</f>
        <v>0</v>
      </c>
      <c r="M179" s="37"/>
      <c r="N179" s="30">
        <f>SUM(O179:W179)</f>
        <v>0</v>
      </c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2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2">
        <f>Y179+N179</f>
        <v>0</v>
      </c>
      <c r="AL179" s="33" t="s">
        <v>11</v>
      </c>
      <c r="BG179" s="107"/>
    </row>
    <row r="180" spans="1:59" s="195" customFormat="1" ht="19.5" hidden="1" thickBot="1" x14ac:dyDescent="0.35">
      <c r="A180" s="154" t="str">
        <f t="shared" si="24"/>
        <v/>
      </c>
      <c r="B180" s="155" t="s">
        <v>181</v>
      </c>
      <c r="C180" s="28"/>
      <c r="D180" s="186">
        <v>1218340</v>
      </c>
      <c r="E180" s="214">
        <v>8340</v>
      </c>
      <c r="F180" s="186" t="s">
        <v>202</v>
      </c>
      <c r="G180" s="187" t="s">
        <v>201</v>
      </c>
      <c r="H180" s="188"/>
      <c r="I180" s="189"/>
      <c r="J180" s="190">
        <f t="shared" si="38"/>
        <v>0</v>
      </c>
      <c r="K180" s="191"/>
      <c r="L180" s="191"/>
      <c r="M180" s="191"/>
      <c r="N180" s="30">
        <f>SUM(O180:W180)</f>
        <v>0</v>
      </c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2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2">
        <f>Y180+N180</f>
        <v>0</v>
      </c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196"/>
    </row>
    <row r="181" spans="1:59" s="33" customFormat="1" ht="20.25" hidden="1" thickBot="1" x14ac:dyDescent="0.3">
      <c r="A181" s="27" t="str">
        <f t="shared" si="24"/>
        <v/>
      </c>
      <c r="B181" s="28" t="s">
        <v>178</v>
      </c>
      <c r="C181" s="28"/>
      <c r="D181" s="223" t="s">
        <v>29</v>
      </c>
      <c r="E181" s="223"/>
      <c r="F181" s="223"/>
      <c r="G181" s="199" t="s">
        <v>3</v>
      </c>
      <c r="H181" s="263"/>
      <c r="I181" s="123"/>
      <c r="J181" s="131">
        <f t="shared" ref="J181:J241" si="41">+K181+L181</f>
        <v>0</v>
      </c>
      <c r="K181" s="60">
        <f>SUM(K183)</f>
        <v>0</v>
      </c>
      <c r="L181" s="64">
        <f>SUM(L183)</f>
        <v>0</v>
      </c>
      <c r="M181" s="64"/>
      <c r="N181" s="30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2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2"/>
      <c r="BG181" s="107"/>
    </row>
    <row r="182" spans="1:59" s="33" customFormat="1" ht="20.25" hidden="1" thickBot="1" x14ac:dyDescent="0.3">
      <c r="A182" s="27" t="str">
        <f t="shared" ref="A182:A247" si="42">IF(J182=0,"","п")</f>
        <v/>
      </c>
      <c r="B182" s="28" t="s">
        <v>178</v>
      </c>
      <c r="C182" s="28"/>
      <c r="D182" s="177" t="s">
        <v>28</v>
      </c>
      <c r="E182" s="177"/>
      <c r="F182" s="177"/>
      <c r="G182" s="179" t="s">
        <v>3</v>
      </c>
      <c r="H182" s="374"/>
      <c r="I182" s="141"/>
      <c r="J182" s="138">
        <f t="shared" si="41"/>
        <v>0</v>
      </c>
      <c r="K182" s="93">
        <f>+K183</f>
        <v>0</v>
      </c>
      <c r="L182" s="92">
        <f>+L183</f>
        <v>0</v>
      </c>
      <c r="M182" s="92"/>
      <c r="N182" s="30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2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2"/>
      <c r="BG182" s="107"/>
    </row>
    <row r="183" spans="1:59" s="33" customFormat="1" ht="45.75" hidden="1" customHeight="1" x14ac:dyDescent="0.3">
      <c r="A183" s="27" t="str">
        <f t="shared" si="42"/>
        <v/>
      </c>
      <c r="B183" s="28" t="s">
        <v>178</v>
      </c>
      <c r="C183" s="28"/>
      <c r="D183" s="210" t="s">
        <v>73</v>
      </c>
      <c r="E183" s="214" t="s">
        <v>74</v>
      </c>
      <c r="F183" s="186" t="s">
        <v>153</v>
      </c>
      <c r="G183" s="187" t="s">
        <v>75</v>
      </c>
      <c r="H183" s="188"/>
      <c r="I183" s="111"/>
      <c r="J183" s="129">
        <f t="shared" si="41"/>
        <v>0</v>
      </c>
      <c r="K183" s="37"/>
      <c r="L183" s="81"/>
      <c r="M183" s="81"/>
      <c r="N183" s="30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2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2"/>
      <c r="BG183" s="107"/>
    </row>
    <row r="184" spans="1:59" s="33" customFormat="1" ht="39.75" hidden="1" thickBot="1" x14ac:dyDescent="0.3">
      <c r="A184" s="27" t="str">
        <f t="shared" si="42"/>
        <v/>
      </c>
      <c r="B184" s="28" t="s">
        <v>182</v>
      </c>
      <c r="C184" s="28"/>
      <c r="D184" s="198">
        <v>3700000</v>
      </c>
      <c r="E184" s="273"/>
      <c r="F184" s="277"/>
      <c r="G184" s="199" t="s">
        <v>150</v>
      </c>
      <c r="H184" s="273"/>
      <c r="I184" s="123"/>
      <c r="J184" s="49">
        <f t="shared" si="41"/>
        <v>0</v>
      </c>
      <c r="K184" s="60">
        <f>SUM(K186)</f>
        <v>0</v>
      </c>
      <c r="L184" s="64">
        <f>SUM(L186)</f>
        <v>0</v>
      </c>
      <c r="M184" s="64"/>
      <c r="N184" s="30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2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2"/>
      <c r="BG184" s="107"/>
    </row>
    <row r="185" spans="1:59" s="33" customFormat="1" ht="39.75" hidden="1" thickBot="1" x14ac:dyDescent="0.3">
      <c r="A185" s="27" t="str">
        <f t="shared" si="42"/>
        <v/>
      </c>
      <c r="B185" s="28" t="s">
        <v>182</v>
      </c>
      <c r="C185" s="28"/>
      <c r="D185" s="246">
        <v>3710000</v>
      </c>
      <c r="E185" s="232"/>
      <c r="F185" s="209"/>
      <c r="G185" s="179" t="s">
        <v>150</v>
      </c>
      <c r="H185" s="232"/>
      <c r="I185" s="112"/>
      <c r="J185" s="41">
        <f t="shared" si="41"/>
        <v>0</v>
      </c>
      <c r="K185" s="90">
        <f>+K186</f>
        <v>0</v>
      </c>
      <c r="L185" s="89">
        <f>+L186</f>
        <v>0</v>
      </c>
      <c r="M185" s="89"/>
      <c r="N185" s="30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2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2"/>
      <c r="BG185" s="107"/>
    </row>
    <row r="186" spans="1:59" s="33" customFormat="1" ht="277.5" hidden="1" customHeight="1" thickBot="1" x14ac:dyDescent="0.3">
      <c r="A186" s="27" t="str">
        <f t="shared" si="42"/>
        <v/>
      </c>
      <c r="B186" s="28" t="s">
        <v>182</v>
      </c>
      <c r="C186" s="28"/>
      <c r="D186" s="389">
        <v>3716072</v>
      </c>
      <c r="E186" s="367">
        <v>6072</v>
      </c>
      <c r="F186" s="388" t="s">
        <v>211</v>
      </c>
      <c r="G186" s="445" t="s">
        <v>210</v>
      </c>
      <c r="H186" s="367"/>
      <c r="I186" s="124"/>
      <c r="J186" s="46">
        <f t="shared" si="41"/>
        <v>0</v>
      </c>
      <c r="K186" s="46"/>
      <c r="L186" s="110"/>
      <c r="M186" s="110"/>
      <c r="N186" s="30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2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2"/>
      <c r="BG186" s="107"/>
    </row>
    <row r="187" spans="1:59" s="33" customFormat="1" ht="75" x14ac:dyDescent="0.25">
      <c r="A187" s="27" t="str">
        <f t="shared" si="42"/>
        <v>п</v>
      </c>
      <c r="B187" s="155"/>
      <c r="C187" s="28"/>
      <c r="D187" s="170"/>
      <c r="E187" s="169"/>
      <c r="F187" s="170"/>
      <c r="G187" s="171"/>
      <c r="H187" s="172" t="s">
        <v>322</v>
      </c>
      <c r="I187" s="173" t="s">
        <v>332</v>
      </c>
      <c r="J187" s="174">
        <f t="shared" si="41"/>
        <v>20000</v>
      </c>
      <c r="K187" s="175">
        <f t="shared" ref="K187:M188" si="43">+K188</f>
        <v>20000</v>
      </c>
      <c r="L187" s="176">
        <f t="shared" si="43"/>
        <v>0</v>
      </c>
      <c r="M187" s="176">
        <f t="shared" si="43"/>
        <v>0</v>
      </c>
      <c r="N187" s="30">
        <f>SUM(O187:W187)</f>
        <v>0</v>
      </c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2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2">
        <f>Y187+N187</f>
        <v>0</v>
      </c>
      <c r="BG187" s="107"/>
    </row>
    <row r="188" spans="1:59" s="44" customFormat="1" ht="19.5" x14ac:dyDescent="0.25">
      <c r="A188" s="27" t="str">
        <f t="shared" si="42"/>
        <v>п</v>
      </c>
      <c r="B188" s="155" t="s">
        <v>178</v>
      </c>
      <c r="C188" s="28"/>
      <c r="D188" s="223" t="s">
        <v>29</v>
      </c>
      <c r="E188" s="198"/>
      <c r="F188" s="198"/>
      <c r="G188" s="199" t="s">
        <v>3</v>
      </c>
      <c r="H188" s="200"/>
      <c r="I188" s="201"/>
      <c r="J188" s="202">
        <f t="shared" si="41"/>
        <v>20000</v>
      </c>
      <c r="K188" s="203">
        <f t="shared" si="43"/>
        <v>20000</v>
      </c>
      <c r="L188" s="203">
        <f t="shared" si="43"/>
        <v>0</v>
      </c>
      <c r="M188" s="203">
        <f t="shared" si="43"/>
        <v>0</v>
      </c>
      <c r="N188" s="30">
        <f>SUM(O188:W188)</f>
        <v>0</v>
      </c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>
        <f>Y188+N188</f>
        <v>0</v>
      </c>
      <c r="BG188" s="107"/>
    </row>
    <row r="189" spans="1:59" s="44" customFormat="1" ht="19.5" x14ac:dyDescent="0.25">
      <c r="A189" s="27" t="str">
        <f t="shared" si="42"/>
        <v>п</v>
      </c>
      <c r="B189" s="155" t="s">
        <v>178</v>
      </c>
      <c r="C189" s="28"/>
      <c r="D189" s="177" t="s">
        <v>28</v>
      </c>
      <c r="E189" s="178"/>
      <c r="F189" s="178"/>
      <c r="G189" s="179" t="s">
        <v>3</v>
      </c>
      <c r="H189" s="180"/>
      <c r="I189" s="181"/>
      <c r="J189" s="182">
        <f t="shared" si="41"/>
        <v>20000</v>
      </c>
      <c r="K189" s="183">
        <f>SUM(K190:K191)</f>
        <v>20000</v>
      </c>
      <c r="L189" s="183">
        <f>SUM(L190:L191)</f>
        <v>0</v>
      </c>
      <c r="M189" s="183">
        <f>SUM(M190:M191)</f>
        <v>0</v>
      </c>
      <c r="N189" s="30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BG189" s="107"/>
    </row>
    <row r="190" spans="1:59" s="44" customFormat="1" ht="20.25" thickBot="1" x14ac:dyDescent="0.3">
      <c r="A190" s="27" t="str">
        <f t="shared" ref="A190" si="44">IF(J190=0,"","п")</f>
        <v>п</v>
      </c>
      <c r="B190" s="155" t="s">
        <v>178</v>
      </c>
      <c r="C190" s="28"/>
      <c r="D190" s="365" t="s">
        <v>106</v>
      </c>
      <c r="E190" s="277" t="s">
        <v>107</v>
      </c>
      <c r="F190" s="277" t="s">
        <v>108</v>
      </c>
      <c r="G190" s="390" t="s">
        <v>109</v>
      </c>
      <c r="H190" s="257"/>
      <c r="I190" s="258"/>
      <c r="J190" s="483">
        <f>+K190+L190</f>
        <v>20000</v>
      </c>
      <c r="K190" s="381">
        <f>52000-32000</f>
        <v>20000</v>
      </c>
      <c r="L190" s="381"/>
      <c r="M190" s="381"/>
      <c r="N190" s="30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BG190" s="107"/>
    </row>
    <row r="191" spans="1:59" s="33" customFormat="1" ht="38.25" hidden="1" thickBot="1" x14ac:dyDescent="0.3">
      <c r="A191" s="27" t="str">
        <f>IF(J191=0,"","п")</f>
        <v/>
      </c>
      <c r="B191" s="155" t="s">
        <v>178</v>
      </c>
      <c r="C191" s="28"/>
      <c r="D191" s="186" t="s">
        <v>323</v>
      </c>
      <c r="E191" s="214">
        <v>7350</v>
      </c>
      <c r="F191" s="186" t="s">
        <v>154</v>
      </c>
      <c r="G191" s="187" t="s">
        <v>324</v>
      </c>
      <c r="H191" s="188"/>
      <c r="I191" s="189"/>
      <c r="J191" s="190">
        <f>+K191+L191</f>
        <v>0</v>
      </c>
      <c r="K191" s="191"/>
      <c r="L191" s="205">
        <f>1800000-1800000</f>
        <v>0</v>
      </c>
      <c r="M191" s="205">
        <f>1800000-1800000</f>
        <v>0</v>
      </c>
      <c r="N191" s="30">
        <f>SUM(O191:W191)</f>
        <v>0</v>
      </c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2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2">
        <f>Y191+N191</f>
        <v>0</v>
      </c>
      <c r="BG191" s="107"/>
    </row>
    <row r="192" spans="1:59" s="33" customFormat="1" ht="57.75" hidden="1" customHeight="1" x14ac:dyDescent="0.3">
      <c r="A192" s="27" t="str">
        <f t="shared" si="42"/>
        <v/>
      </c>
      <c r="B192" s="28"/>
      <c r="C192" s="28"/>
      <c r="D192" s="170"/>
      <c r="E192" s="169"/>
      <c r="F192" s="170"/>
      <c r="G192" s="446"/>
      <c r="H192" s="172" t="s">
        <v>20</v>
      </c>
      <c r="I192" s="173" t="s">
        <v>218</v>
      </c>
      <c r="J192" s="174">
        <f t="shared" si="41"/>
        <v>0</v>
      </c>
      <c r="K192" s="175">
        <f>K193</f>
        <v>0</v>
      </c>
      <c r="L192" s="175">
        <f>+L193</f>
        <v>0</v>
      </c>
      <c r="M192" s="175">
        <f>+M193</f>
        <v>0</v>
      </c>
      <c r="N192" s="30">
        <f>SUM(O192:W192)</f>
        <v>0</v>
      </c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2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2">
        <f>Y192+N192</f>
        <v>0</v>
      </c>
      <c r="BG192" s="107"/>
    </row>
    <row r="193" spans="1:59" s="44" customFormat="1" ht="59.25" hidden="1" thickBot="1" x14ac:dyDescent="0.3">
      <c r="A193" s="27" t="str">
        <f t="shared" si="42"/>
        <v/>
      </c>
      <c r="B193" s="28" t="s">
        <v>181</v>
      </c>
      <c r="C193" s="28"/>
      <c r="D193" s="223" t="s">
        <v>62</v>
      </c>
      <c r="E193" s="198"/>
      <c r="F193" s="198"/>
      <c r="G193" s="199" t="s">
        <v>9</v>
      </c>
      <c r="H193" s="200"/>
      <c r="I193" s="140"/>
      <c r="J193" s="131">
        <f t="shared" si="41"/>
        <v>0</v>
      </c>
      <c r="K193" s="60">
        <f>SUM(K195:K195)</f>
        <v>0</v>
      </c>
      <c r="L193" s="64">
        <f>SUM(L195:L195)</f>
        <v>0</v>
      </c>
      <c r="M193" s="64">
        <f>SUM(M195:M195)</f>
        <v>0</v>
      </c>
      <c r="N193" s="30">
        <f>SUM(O193:W193)</f>
        <v>0</v>
      </c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32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32">
        <f>Y193+N193</f>
        <v>0</v>
      </c>
      <c r="BG193" s="107"/>
    </row>
    <row r="194" spans="1:59" s="44" customFormat="1" ht="59.25" hidden="1" thickBot="1" x14ac:dyDescent="0.3">
      <c r="A194" s="27" t="str">
        <f t="shared" si="42"/>
        <v/>
      </c>
      <c r="B194" s="28" t="s">
        <v>181</v>
      </c>
      <c r="C194" s="28"/>
      <c r="D194" s="223" t="s">
        <v>63</v>
      </c>
      <c r="E194" s="198"/>
      <c r="F194" s="198"/>
      <c r="G194" s="199" t="s">
        <v>9</v>
      </c>
      <c r="H194" s="200"/>
      <c r="I194" s="140"/>
      <c r="J194" s="131">
        <f t="shared" si="41"/>
        <v>0</v>
      </c>
      <c r="K194" s="60">
        <f>K195</f>
        <v>0</v>
      </c>
      <c r="L194" s="64">
        <f>L195</f>
        <v>0</v>
      </c>
      <c r="M194" s="64">
        <f>M195</f>
        <v>0</v>
      </c>
      <c r="N194" s="30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32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32"/>
      <c r="BG194" s="107"/>
    </row>
    <row r="195" spans="1:59" s="33" customFormat="1" ht="19.5" hidden="1" thickBot="1" x14ac:dyDescent="0.3">
      <c r="A195" s="27" t="str">
        <f t="shared" si="42"/>
        <v/>
      </c>
      <c r="B195" s="28" t="s">
        <v>181</v>
      </c>
      <c r="C195" s="28"/>
      <c r="D195" s="186">
        <v>1218340</v>
      </c>
      <c r="E195" s="214">
        <v>8340</v>
      </c>
      <c r="F195" s="389" t="s">
        <v>202</v>
      </c>
      <c r="G195" s="187" t="s">
        <v>201</v>
      </c>
      <c r="H195" s="188"/>
      <c r="I195" s="111"/>
      <c r="J195" s="129">
        <f t="shared" si="41"/>
        <v>0</v>
      </c>
      <c r="K195" s="37"/>
      <c r="L195" s="37"/>
      <c r="M195" s="37"/>
      <c r="N195" s="30">
        <f>SUM(O195:W195)</f>
        <v>0</v>
      </c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2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2">
        <f>Y195+N195</f>
        <v>0</v>
      </c>
      <c r="BG195" s="107"/>
    </row>
    <row r="196" spans="1:59" s="195" customFormat="1" ht="63" hidden="1" customHeight="1" x14ac:dyDescent="0.35">
      <c r="A196" s="154" t="str">
        <f t="shared" si="42"/>
        <v/>
      </c>
      <c r="B196" s="155"/>
      <c r="C196" s="28"/>
      <c r="D196" s="170"/>
      <c r="E196" s="169"/>
      <c r="F196" s="170"/>
      <c r="G196" s="171"/>
      <c r="H196" s="172" t="s">
        <v>147</v>
      </c>
      <c r="I196" s="238" t="s">
        <v>284</v>
      </c>
      <c r="J196" s="174">
        <f t="shared" si="41"/>
        <v>0</v>
      </c>
      <c r="K196" s="175">
        <f>+K197</f>
        <v>0</v>
      </c>
      <c r="L196" s="175">
        <f>+L197</f>
        <v>0</v>
      </c>
      <c r="M196" s="175">
        <f>+M197</f>
        <v>0</v>
      </c>
      <c r="N196" s="30">
        <f>SUM(O196:W196)</f>
        <v>0</v>
      </c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2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2">
        <f>Y196+N196</f>
        <v>0</v>
      </c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196"/>
    </row>
    <row r="197" spans="1:59" s="197" customFormat="1" ht="20.25" hidden="1" thickBot="1" x14ac:dyDescent="0.35">
      <c r="A197" s="154" t="str">
        <f t="shared" si="42"/>
        <v/>
      </c>
      <c r="B197" s="155" t="s">
        <v>178</v>
      </c>
      <c r="C197" s="28"/>
      <c r="D197" s="177" t="s">
        <v>29</v>
      </c>
      <c r="E197" s="177"/>
      <c r="F197" s="177"/>
      <c r="G197" s="179" t="s">
        <v>3</v>
      </c>
      <c r="H197" s="200"/>
      <c r="I197" s="201"/>
      <c r="J197" s="202">
        <f t="shared" si="41"/>
        <v>0</v>
      </c>
      <c r="K197" s="203">
        <f>+K199</f>
        <v>0</v>
      </c>
      <c r="L197" s="203"/>
      <c r="M197" s="203"/>
      <c r="N197" s="30">
        <f>SUM(O197:W197)</f>
        <v>0</v>
      </c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32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32">
        <f>Y197+N197</f>
        <v>0</v>
      </c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  <c r="BF197" s="44"/>
      <c r="BG197" s="196"/>
    </row>
    <row r="198" spans="1:59" s="197" customFormat="1" ht="20.25" hidden="1" thickBot="1" x14ac:dyDescent="0.35">
      <c r="A198" s="154" t="str">
        <f t="shared" si="42"/>
        <v/>
      </c>
      <c r="B198" s="155" t="s">
        <v>178</v>
      </c>
      <c r="C198" s="28"/>
      <c r="D198" s="177" t="s">
        <v>28</v>
      </c>
      <c r="E198" s="177"/>
      <c r="F198" s="177"/>
      <c r="G198" s="179" t="s">
        <v>3</v>
      </c>
      <c r="H198" s="257"/>
      <c r="I198" s="258"/>
      <c r="J198" s="259">
        <f t="shared" si="41"/>
        <v>0</v>
      </c>
      <c r="K198" s="260">
        <f>+K199</f>
        <v>0</v>
      </c>
      <c r="L198" s="267">
        <f>+L199</f>
        <v>0</v>
      </c>
      <c r="M198" s="267">
        <f>+M199</f>
        <v>0</v>
      </c>
      <c r="N198" s="30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32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32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196"/>
    </row>
    <row r="199" spans="1:59" s="195" customFormat="1" ht="19.5" hidden="1" thickBot="1" x14ac:dyDescent="0.35">
      <c r="A199" s="154" t="str">
        <f t="shared" si="42"/>
        <v/>
      </c>
      <c r="B199" s="155" t="s">
        <v>178</v>
      </c>
      <c r="C199" s="28"/>
      <c r="D199" s="186" t="s">
        <v>206</v>
      </c>
      <c r="E199" s="252" t="s">
        <v>207</v>
      </c>
      <c r="F199" s="253" t="s">
        <v>208</v>
      </c>
      <c r="G199" s="254" t="s">
        <v>209</v>
      </c>
      <c r="H199" s="262"/>
      <c r="I199" s="255"/>
      <c r="J199" s="268">
        <f t="shared" si="41"/>
        <v>0</v>
      </c>
      <c r="K199" s="256">
        <f>1775-1775</f>
        <v>0</v>
      </c>
      <c r="L199" s="256"/>
      <c r="M199" s="256"/>
      <c r="N199" s="30">
        <f>SUM(O199:W199)</f>
        <v>0</v>
      </c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2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2">
        <f>Y199+N199</f>
        <v>0</v>
      </c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196"/>
    </row>
    <row r="200" spans="1:59" s="44" customFormat="1" ht="42" hidden="1" customHeight="1" x14ac:dyDescent="0.3">
      <c r="A200" s="27" t="str">
        <f t="shared" si="42"/>
        <v/>
      </c>
      <c r="B200" s="28"/>
      <c r="C200" s="28"/>
      <c r="D200" s="234"/>
      <c r="E200" s="171"/>
      <c r="F200" s="234"/>
      <c r="G200" s="171"/>
      <c r="H200" s="172" t="s">
        <v>237</v>
      </c>
      <c r="I200" s="145" t="s">
        <v>219</v>
      </c>
      <c r="J200" s="127">
        <f t="shared" si="41"/>
        <v>0</v>
      </c>
      <c r="K200" s="29">
        <f>K201</f>
        <v>0</v>
      </c>
      <c r="L200" s="29">
        <f>L201</f>
        <v>0</v>
      </c>
      <c r="M200" s="29">
        <f>M201</f>
        <v>0</v>
      </c>
      <c r="N200" s="30">
        <f>SUM(O200:W200)</f>
        <v>0</v>
      </c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2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2">
        <f>Y200+N200</f>
        <v>0</v>
      </c>
      <c r="BG200" s="107"/>
    </row>
    <row r="201" spans="1:59" s="44" customFormat="1" ht="39.75" hidden="1" thickBot="1" x14ac:dyDescent="0.3">
      <c r="A201" s="27" t="str">
        <f t="shared" si="42"/>
        <v/>
      </c>
      <c r="B201" s="28" t="s">
        <v>179</v>
      </c>
      <c r="C201" s="28"/>
      <c r="D201" s="198" t="s">
        <v>30</v>
      </c>
      <c r="E201" s="198"/>
      <c r="F201" s="198"/>
      <c r="G201" s="199" t="s">
        <v>18</v>
      </c>
      <c r="H201" s="180"/>
      <c r="I201" s="119"/>
      <c r="J201" s="128">
        <f t="shared" si="41"/>
        <v>0</v>
      </c>
      <c r="K201" s="62">
        <f>K203</f>
        <v>0</v>
      </c>
      <c r="L201" s="62">
        <f>L203</f>
        <v>0</v>
      </c>
      <c r="M201" s="62">
        <f>M203</f>
        <v>0</v>
      </c>
      <c r="N201" s="30">
        <f>SUM(O201:W201)</f>
        <v>0</v>
      </c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32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32">
        <f>Y201+N201</f>
        <v>0</v>
      </c>
      <c r="BG201" s="107"/>
    </row>
    <row r="202" spans="1:59" s="44" customFormat="1" ht="39.75" hidden="1" thickBot="1" x14ac:dyDescent="0.3">
      <c r="A202" s="27" t="str">
        <f t="shared" si="42"/>
        <v/>
      </c>
      <c r="B202" s="28" t="s">
        <v>179</v>
      </c>
      <c r="C202" s="28"/>
      <c r="D202" s="198" t="s">
        <v>31</v>
      </c>
      <c r="E202" s="198"/>
      <c r="F202" s="198"/>
      <c r="G202" s="199" t="s">
        <v>18</v>
      </c>
      <c r="H202" s="224"/>
      <c r="I202" s="116"/>
      <c r="J202" s="132">
        <f t="shared" si="41"/>
        <v>0</v>
      </c>
      <c r="K202" s="90">
        <f>+K203</f>
        <v>0</v>
      </c>
      <c r="L202" s="93">
        <f>+L203</f>
        <v>0</v>
      </c>
      <c r="M202" s="93">
        <f>+M203</f>
        <v>0</v>
      </c>
      <c r="N202" s="30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32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32"/>
      <c r="BG202" s="107"/>
    </row>
    <row r="203" spans="1:59" s="44" customFormat="1" ht="19.5" hidden="1" thickBot="1" x14ac:dyDescent="0.3">
      <c r="A203" s="27" t="str">
        <f t="shared" si="42"/>
        <v/>
      </c>
      <c r="B203" s="28" t="s">
        <v>179</v>
      </c>
      <c r="C203" s="28"/>
      <c r="D203" s="253" t="s">
        <v>192</v>
      </c>
      <c r="E203" s="253" t="s">
        <v>193</v>
      </c>
      <c r="F203" s="253" t="s">
        <v>21</v>
      </c>
      <c r="G203" s="254" t="s">
        <v>76</v>
      </c>
      <c r="H203" s="262"/>
      <c r="I203" s="113"/>
      <c r="J203" s="137">
        <f t="shared" si="41"/>
        <v>0</v>
      </c>
      <c r="K203" s="43"/>
      <c r="L203" s="148"/>
      <c r="M203" s="43"/>
      <c r="N203" s="30">
        <f>SUM(O203:W203)</f>
        <v>0</v>
      </c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>
        <f>Y203+N203</f>
        <v>0</v>
      </c>
      <c r="BG203" s="107"/>
    </row>
    <row r="204" spans="1:59" s="44" customFormat="1" ht="74.25" customHeight="1" x14ac:dyDescent="0.25">
      <c r="A204" s="27" t="str">
        <f t="shared" si="42"/>
        <v>п</v>
      </c>
      <c r="B204" s="155"/>
      <c r="C204" s="28"/>
      <c r="D204" s="234"/>
      <c r="E204" s="171"/>
      <c r="F204" s="234"/>
      <c r="G204" s="171"/>
      <c r="H204" s="172" t="s">
        <v>303</v>
      </c>
      <c r="I204" s="173" t="s">
        <v>326</v>
      </c>
      <c r="J204" s="174">
        <f t="shared" si="41"/>
        <v>3599754.6</v>
      </c>
      <c r="K204" s="175">
        <f>K205</f>
        <v>3599754.6</v>
      </c>
      <c r="L204" s="175">
        <f>L205</f>
        <v>0</v>
      </c>
      <c r="M204" s="175">
        <f>M205</f>
        <v>0</v>
      </c>
      <c r="N204" s="30">
        <f>SUM(O204:W204)</f>
        <v>0</v>
      </c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2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2">
        <f>Y204+N204</f>
        <v>0</v>
      </c>
      <c r="BG204" s="107"/>
    </row>
    <row r="205" spans="1:59" s="44" customFormat="1" ht="37.5" customHeight="1" x14ac:dyDescent="0.25">
      <c r="A205" s="27" t="str">
        <f t="shared" si="42"/>
        <v>п</v>
      </c>
      <c r="B205" s="155" t="s">
        <v>182</v>
      </c>
      <c r="C205" s="28"/>
      <c r="D205" s="198" t="s">
        <v>242</v>
      </c>
      <c r="E205" s="198"/>
      <c r="F205" s="198"/>
      <c r="G205" s="199" t="s">
        <v>243</v>
      </c>
      <c r="H205" s="180"/>
      <c r="I205" s="181"/>
      <c r="J205" s="182">
        <f>+K205+L205</f>
        <v>3599754.6</v>
      </c>
      <c r="K205" s="183">
        <f>K207</f>
        <v>3599754.6</v>
      </c>
      <c r="L205" s="183">
        <f>L207</f>
        <v>0</v>
      </c>
      <c r="M205" s="183">
        <f>M207</f>
        <v>0</v>
      </c>
      <c r="N205" s="30">
        <f>SUM(O205:W205)</f>
        <v>0</v>
      </c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32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32">
        <f>Y205+N205</f>
        <v>0</v>
      </c>
      <c r="BG205" s="107"/>
    </row>
    <row r="206" spans="1:59" s="44" customFormat="1" ht="39.75" customHeight="1" x14ac:dyDescent="0.25">
      <c r="A206" s="27" t="str">
        <f t="shared" si="42"/>
        <v>п</v>
      </c>
      <c r="B206" s="155" t="s">
        <v>182</v>
      </c>
      <c r="C206" s="28"/>
      <c r="D206" s="271" t="s">
        <v>244</v>
      </c>
      <c r="E206" s="271"/>
      <c r="F206" s="271"/>
      <c r="G206" s="272" t="s">
        <v>243</v>
      </c>
      <c r="H206" s="224"/>
      <c r="I206" s="225"/>
      <c r="J206" s="226">
        <f t="shared" si="41"/>
        <v>3599754.6</v>
      </c>
      <c r="K206" s="250">
        <f>SUM(K207:K207)</f>
        <v>3599754.6</v>
      </c>
      <c r="L206" s="250">
        <f>SUM(L207:L207)</f>
        <v>0</v>
      </c>
      <c r="M206" s="250">
        <f>SUM(M207:M207)</f>
        <v>0</v>
      </c>
      <c r="N206" s="30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32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32"/>
      <c r="BG206" s="107"/>
    </row>
    <row r="207" spans="1:59" s="44" customFormat="1" ht="27.75" customHeight="1" thickBot="1" x14ac:dyDescent="0.3">
      <c r="A207" s="27" t="str">
        <f t="shared" si="42"/>
        <v>п</v>
      </c>
      <c r="B207" s="155" t="s">
        <v>182</v>
      </c>
      <c r="C207" s="28"/>
      <c r="D207" s="209" t="s">
        <v>304</v>
      </c>
      <c r="E207" s="209" t="s">
        <v>305</v>
      </c>
      <c r="F207" s="209" t="s">
        <v>306</v>
      </c>
      <c r="G207" s="442" t="s">
        <v>307</v>
      </c>
      <c r="H207" s="227"/>
      <c r="I207" s="228"/>
      <c r="J207" s="229">
        <f t="shared" si="41"/>
        <v>3599754.6</v>
      </c>
      <c r="K207" s="230">
        <f>5638360-2038605.4</f>
        <v>3599754.6</v>
      </c>
      <c r="L207" s="230"/>
      <c r="M207" s="230"/>
      <c r="N207" s="30">
        <f>SUM(O207:W207)</f>
        <v>0</v>
      </c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>
        <f>Y207+N207</f>
        <v>0</v>
      </c>
      <c r="BG207" s="107"/>
    </row>
    <row r="208" spans="1:59" s="197" customFormat="1" ht="60" hidden="1" customHeight="1" x14ac:dyDescent="0.35">
      <c r="A208" s="154" t="str">
        <f t="shared" si="42"/>
        <v/>
      </c>
      <c r="B208" s="155"/>
      <c r="C208" s="28"/>
      <c r="D208" s="234"/>
      <c r="E208" s="171"/>
      <c r="F208" s="234"/>
      <c r="G208" s="171"/>
      <c r="H208" s="171" t="s">
        <v>231</v>
      </c>
      <c r="I208" s="173" t="s">
        <v>230</v>
      </c>
      <c r="J208" s="175">
        <f t="shared" si="41"/>
        <v>0</v>
      </c>
      <c r="K208" s="175">
        <f>K209</f>
        <v>0</v>
      </c>
      <c r="L208" s="175">
        <f>L209</f>
        <v>0</v>
      </c>
      <c r="M208" s="175">
        <f>M209</f>
        <v>0</v>
      </c>
      <c r="N208" s="30">
        <f>SUM(O208:W208)</f>
        <v>0</v>
      </c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2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2">
        <f>Y208+N208</f>
        <v>0</v>
      </c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  <c r="BD208" s="44"/>
      <c r="BE208" s="44"/>
      <c r="BF208" s="44"/>
      <c r="BG208" s="196"/>
    </row>
    <row r="209" spans="1:59" s="197" customFormat="1" ht="20.25" hidden="1" thickBot="1" x14ac:dyDescent="0.35">
      <c r="A209" s="154" t="str">
        <f t="shared" si="42"/>
        <v/>
      </c>
      <c r="B209" s="155" t="s">
        <v>178</v>
      </c>
      <c r="C209" s="28"/>
      <c r="D209" s="177" t="s">
        <v>29</v>
      </c>
      <c r="E209" s="177"/>
      <c r="F209" s="177"/>
      <c r="G209" s="179" t="s">
        <v>3</v>
      </c>
      <c r="H209" s="269"/>
      <c r="I209" s="181"/>
      <c r="J209" s="183">
        <f t="shared" si="41"/>
        <v>0</v>
      </c>
      <c r="K209" s="183">
        <f t="shared" ref="K209:M210" si="45">+K210</f>
        <v>0</v>
      </c>
      <c r="L209" s="183">
        <f t="shared" si="45"/>
        <v>0</v>
      </c>
      <c r="M209" s="183">
        <f t="shared" si="45"/>
        <v>0</v>
      </c>
      <c r="N209" s="30">
        <f>SUM(O209:W209)</f>
        <v>0</v>
      </c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32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32">
        <f>Y209+N209</f>
        <v>0</v>
      </c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  <c r="BF209" s="44"/>
      <c r="BG209" s="196"/>
    </row>
    <row r="210" spans="1:59" s="197" customFormat="1" ht="20.25" hidden="1" thickBot="1" x14ac:dyDescent="0.35">
      <c r="A210" s="154" t="str">
        <f t="shared" si="42"/>
        <v/>
      </c>
      <c r="B210" s="155" t="s">
        <v>178</v>
      </c>
      <c r="C210" s="28"/>
      <c r="D210" s="177" t="s">
        <v>28</v>
      </c>
      <c r="E210" s="177"/>
      <c r="F210" s="177"/>
      <c r="G210" s="179" t="s">
        <v>3</v>
      </c>
      <c r="H210" s="245"/>
      <c r="I210" s="225"/>
      <c r="J210" s="250">
        <f t="shared" si="41"/>
        <v>0</v>
      </c>
      <c r="K210" s="250">
        <f t="shared" si="45"/>
        <v>0</v>
      </c>
      <c r="L210" s="270">
        <f t="shared" si="45"/>
        <v>0</v>
      </c>
      <c r="M210" s="270">
        <f t="shared" si="45"/>
        <v>0</v>
      </c>
      <c r="N210" s="30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32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32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  <c r="BF210" s="44"/>
      <c r="BG210" s="196"/>
    </row>
    <row r="211" spans="1:59" s="195" customFormat="1" ht="22.5" hidden="1" customHeight="1" thickBot="1" x14ac:dyDescent="0.35">
      <c r="A211" s="154" t="str">
        <f t="shared" si="42"/>
        <v/>
      </c>
      <c r="B211" s="155" t="s">
        <v>178</v>
      </c>
      <c r="C211" s="103"/>
      <c r="D211" s="210" t="s">
        <v>106</v>
      </c>
      <c r="E211" s="185" t="s">
        <v>107</v>
      </c>
      <c r="F211" s="186" t="s">
        <v>108</v>
      </c>
      <c r="G211" s="187" t="s">
        <v>109</v>
      </c>
      <c r="H211" s="214"/>
      <c r="I211" s="189"/>
      <c r="J211" s="191">
        <f>+K211+L211</f>
        <v>0</v>
      </c>
      <c r="K211" s="191">
        <f>100000+1800000-1800000-100000</f>
        <v>0</v>
      </c>
      <c r="L211" s="191">
        <f>1800000-1800000</f>
        <v>0</v>
      </c>
      <c r="M211" s="191">
        <f>1800000-1800000</f>
        <v>0</v>
      </c>
      <c r="N211" s="30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2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2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196"/>
    </row>
    <row r="212" spans="1:59" s="197" customFormat="1" ht="102" customHeight="1" x14ac:dyDescent="0.3">
      <c r="A212" s="154" t="str">
        <f t="shared" si="42"/>
        <v>п</v>
      </c>
      <c r="B212" s="155"/>
      <c r="C212" s="28"/>
      <c r="D212" s="234"/>
      <c r="E212" s="171"/>
      <c r="F212" s="234"/>
      <c r="G212" s="171"/>
      <c r="H212" s="172" t="s">
        <v>126</v>
      </c>
      <c r="I212" s="173" t="s">
        <v>251</v>
      </c>
      <c r="J212" s="174">
        <f t="shared" si="41"/>
        <v>2436175.96</v>
      </c>
      <c r="K212" s="175">
        <f t="shared" ref="K212:M213" si="46">K213</f>
        <v>2436175.96</v>
      </c>
      <c r="L212" s="175">
        <f t="shared" si="46"/>
        <v>0</v>
      </c>
      <c r="M212" s="175">
        <f t="shared" si="46"/>
        <v>0</v>
      </c>
      <c r="N212" s="30">
        <f>SUM(O212:W212)</f>
        <v>0</v>
      </c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2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2">
        <f>Y212+N212</f>
        <v>0</v>
      </c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  <c r="BF212" s="44"/>
      <c r="BG212" s="196"/>
    </row>
    <row r="213" spans="1:59" s="197" customFormat="1" ht="37.5" customHeight="1" x14ac:dyDescent="0.3">
      <c r="A213" s="154" t="str">
        <f t="shared" si="42"/>
        <v>п</v>
      </c>
      <c r="B213" s="155" t="s">
        <v>181</v>
      </c>
      <c r="C213" s="28"/>
      <c r="D213" s="198" t="s">
        <v>62</v>
      </c>
      <c r="E213" s="198"/>
      <c r="F213" s="198"/>
      <c r="G213" s="199" t="s">
        <v>9</v>
      </c>
      <c r="H213" s="180"/>
      <c r="I213" s="181"/>
      <c r="J213" s="182">
        <f>+K213+L213</f>
        <v>2436175.96</v>
      </c>
      <c r="K213" s="183">
        <f t="shared" si="46"/>
        <v>2436175.96</v>
      </c>
      <c r="L213" s="183">
        <f t="shared" si="46"/>
        <v>0</v>
      </c>
      <c r="M213" s="183">
        <f t="shared" si="46"/>
        <v>0</v>
      </c>
      <c r="N213" s="30">
        <f>SUM(O213:W213)</f>
        <v>0</v>
      </c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32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32">
        <f>Y213+N213</f>
        <v>0</v>
      </c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  <c r="BF213" s="44"/>
      <c r="BG213" s="196"/>
    </row>
    <row r="214" spans="1:59" s="197" customFormat="1" ht="39.75" customHeight="1" x14ac:dyDescent="0.3">
      <c r="A214" s="154" t="str">
        <f t="shared" si="42"/>
        <v>п</v>
      </c>
      <c r="B214" s="155" t="s">
        <v>181</v>
      </c>
      <c r="C214" s="28"/>
      <c r="D214" s="271" t="s">
        <v>63</v>
      </c>
      <c r="E214" s="271"/>
      <c r="F214" s="271"/>
      <c r="G214" s="272" t="s">
        <v>9</v>
      </c>
      <c r="H214" s="224"/>
      <c r="I214" s="225"/>
      <c r="J214" s="226">
        <f>+K214+L214</f>
        <v>2436175.96</v>
      </c>
      <c r="K214" s="250">
        <f>SUM(K215:K216)</f>
        <v>2436175.96</v>
      </c>
      <c r="L214" s="250">
        <f>SUM(L215:L216)</f>
        <v>0</v>
      </c>
      <c r="M214" s="250">
        <f>SUM(M215:M216)</f>
        <v>0</v>
      </c>
      <c r="N214" s="30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32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32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  <c r="BD214" s="44"/>
      <c r="BE214" s="44"/>
      <c r="BF214" s="44"/>
      <c r="BG214" s="196"/>
    </row>
    <row r="215" spans="1:59" s="197" customFormat="1" ht="39.75" hidden="1" customHeight="1" x14ac:dyDescent="0.3">
      <c r="A215" s="154" t="str">
        <f t="shared" si="42"/>
        <v/>
      </c>
      <c r="B215" s="155" t="s">
        <v>181</v>
      </c>
      <c r="C215" s="28"/>
      <c r="D215" s="277" t="s">
        <v>82</v>
      </c>
      <c r="E215" s="273" t="s">
        <v>83</v>
      </c>
      <c r="F215" s="186" t="s">
        <v>154</v>
      </c>
      <c r="G215" s="274" t="s">
        <v>84</v>
      </c>
      <c r="H215" s="224"/>
      <c r="I215" s="225"/>
      <c r="J215" s="229">
        <f>+K215+L215</f>
        <v>0</v>
      </c>
      <c r="K215" s="230"/>
      <c r="L215" s="275">
        <f>2000000-2000000</f>
        <v>0</v>
      </c>
      <c r="M215" s="275">
        <f>2000000-2000000</f>
        <v>0</v>
      </c>
      <c r="N215" s="30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32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32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  <c r="BF215" s="44"/>
      <c r="BG215" s="196"/>
    </row>
    <row r="216" spans="1:59" s="197" customFormat="1" ht="39" customHeight="1" thickBot="1" x14ac:dyDescent="0.35">
      <c r="A216" s="154" t="str">
        <f t="shared" si="42"/>
        <v>п</v>
      </c>
      <c r="B216" s="155" t="s">
        <v>181</v>
      </c>
      <c r="C216" s="155"/>
      <c r="D216" s="368" t="s">
        <v>203</v>
      </c>
      <c r="E216" s="208" t="s">
        <v>204</v>
      </c>
      <c r="F216" s="379" t="s">
        <v>131</v>
      </c>
      <c r="G216" s="380" t="s">
        <v>205</v>
      </c>
      <c r="H216" s="227"/>
      <c r="I216" s="228"/>
      <c r="J216" s="229">
        <f t="shared" si="41"/>
        <v>2436175.96</v>
      </c>
      <c r="K216" s="230">
        <f>2000000+54183.96+181992+200000</f>
        <v>2436175.96</v>
      </c>
      <c r="L216" s="381"/>
      <c r="M216" s="381"/>
      <c r="N216" s="382">
        <f>SUM(O216:W216)</f>
        <v>0</v>
      </c>
      <c r="O216" s="383"/>
      <c r="P216" s="383"/>
      <c r="Q216" s="383"/>
      <c r="R216" s="383"/>
      <c r="S216" s="383"/>
      <c r="T216" s="383"/>
      <c r="U216" s="383"/>
      <c r="V216" s="383"/>
      <c r="W216" s="383"/>
      <c r="X216" s="383"/>
      <c r="Y216" s="383"/>
      <c r="Z216" s="383"/>
      <c r="AA216" s="383"/>
      <c r="AB216" s="383"/>
      <c r="AC216" s="383"/>
      <c r="AD216" s="383"/>
      <c r="AE216" s="383"/>
      <c r="AF216" s="383"/>
      <c r="AG216" s="383"/>
      <c r="AH216" s="383"/>
      <c r="AI216" s="383"/>
      <c r="AJ216" s="383"/>
      <c r="AK216" s="383">
        <f>Y216+N216</f>
        <v>0</v>
      </c>
      <c r="BG216" s="196"/>
    </row>
    <row r="217" spans="1:59" s="44" customFormat="1" ht="39" hidden="1" customHeight="1" thickBot="1" x14ac:dyDescent="0.3">
      <c r="A217" s="27" t="str">
        <f t="shared" si="42"/>
        <v/>
      </c>
      <c r="B217" s="28" t="s">
        <v>181</v>
      </c>
      <c r="C217" s="104"/>
      <c r="D217" s="460"/>
      <c r="E217" s="362"/>
      <c r="F217" s="287"/>
      <c r="G217" s="217" t="s">
        <v>22</v>
      </c>
      <c r="H217" s="370"/>
      <c r="I217" s="122"/>
      <c r="J217" s="135">
        <f t="shared" si="41"/>
        <v>0</v>
      </c>
      <c r="K217" s="83"/>
      <c r="L217" s="82"/>
      <c r="M217" s="49"/>
      <c r="N217" s="30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BG217" s="107"/>
    </row>
    <row r="218" spans="1:59" s="197" customFormat="1" ht="78.75" hidden="1" customHeight="1" x14ac:dyDescent="0.35">
      <c r="A218" s="154" t="str">
        <f t="shared" si="42"/>
        <v/>
      </c>
      <c r="B218" s="155"/>
      <c r="C218" s="28"/>
      <c r="D218" s="234"/>
      <c r="E218" s="171"/>
      <c r="F218" s="234"/>
      <c r="G218" s="171"/>
      <c r="H218" s="172" t="s">
        <v>265</v>
      </c>
      <c r="I218" s="173" t="s">
        <v>266</v>
      </c>
      <c r="J218" s="174">
        <f t="shared" si="41"/>
        <v>0</v>
      </c>
      <c r="K218" s="175">
        <f>K219</f>
        <v>0</v>
      </c>
      <c r="L218" s="175">
        <f>L219</f>
        <v>0</v>
      </c>
      <c r="M218" s="175">
        <f>M219</f>
        <v>0</v>
      </c>
      <c r="N218" s="30">
        <f>SUM(O218:W218)</f>
        <v>0</v>
      </c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2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2">
        <f>Y218+N218</f>
        <v>0</v>
      </c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  <c r="BD218" s="44"/>
      <c r="BE218" s="44"/>
      <c r="BF218" s="44"/>
      <c r="BG218" s="196"/>
    </row>
    <row r="219" spans="1:59" s="197" customFormat="1" ht="62.25" hidden="1" customHeight="1" x14ac:dyDescent="0.35">
      <c r="A219" s="154" t="str">
        <f t="shared" si="42"/>
        <v/>
      </c>
      <c r="B219" s="155" t="s">
        <v>178</v>
      </c>
      <c r="C219" s="28"/>
      <c r="D219" s="223" t="s">
        <v>165</v>
      </c>
      <c r="E219" s="198"/>
      <c r="F219" s="198"/>
      <c r="G219" s="199" t="s">
        <v>294</v>
      </c>
      <c r="H219" s="180"/>
      <c r="I219" s="181"/>
      <c r="J219" s="182">
        <f t="shared" si="41"/>
        <v>0</v>
      </c>
      <c r="K219" s="183">
        <f t="shared" ref="K219:M220" si="47">+K220</f>
        <v>0</v>
      </c>
      <c r="L219" s="183">
        <f t="shared" si="47"/>
        <v>0</v>
      </c>
      <c r="M219" s="183">
        <f t="shared" si="47"/>
        <v>0</v>
      </c>
      <c r="N219" s="30">
        <f>SUM(O219:W219)</f>
        <v>0</v>
      </c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32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32">
        <f>Y219+N219</f>
        <v>0</v>
      </c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  <c r="BF219" s="44"/>
      <c r="BG219" s="196"/>
    </row>
    <row r="220" spans="1:59" s="197" customFormat="1" ht="61.5" hidden="1" customHeight="1" x14ac:dyDescent="0.35">
      <c r="A220" s="154" t="str">
        <f t="shared" si="42"/>
        <v/>
      </c>
      <c r="B220" s="155" t="s">
        <v>178</v>
      </c>
      <c r="C220" s="28"/>
      <c r="D220" s="223" t="s">
        <v>166</v>
      </c>
      <c r="E220" s="198"/>
      <c r="F220" s="198"/>
      <c r="G220" s="199" t="s">
        <v>294</v>
      </c>
      <c r="H220" s="224"/>
      <c r="I220" s="225"/>
      <c r="J220" s="226">
        <f t="shared" si="41"/>
        <v>0</v>
      </c>
      <c r="K220" s="250">
        <f t="shared" si="47"/>
        <v>0</v>
      </c>
      <c r="L220" s="270">
        <f t="shared" si="47"/>
        <v>0</v>
      </c>
      <c r="M220" s="270">
        <f t="shared" si="47"/>
        <v>0</v>
      </c>
      <c r="N220" s="30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32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32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196"/>
    </row>
    <row r="221" spans="1:59" s="195" customFormat="1" ht="21" hidden="1" customHeight="1" thickBot="1" x14ac:dyDescent="0.35">
      <c r="A221" s="154" t="str">
        <f t="shared" si="42"/>
        <v/>
      </c>
      <c r="B221" s="155" t="s">
        <v>178</v>
      </c>
      <c r="C221" s="103"/>
      <c r="D221" s="210" t="s">
        <v>197</v>
      </c>
      <c r="E221" s="185" t="s">
        <v>196</v>
      </c>
      <c r="F221" s="186" t="s">
        <v>27</v>
      </c>
      <c r="G221" s="187" t="s">
        <v>198</v>
      </c>
      <c r="H221" s="214"/>
      <c r="I221" s="189"/>
      <c r="J221" s="191">
        <f t="shared" si="41"/>
        <v>0</v>
      </c>
      <c r="K221" s="191">
        <f>26000-25200-800</f>
        <v>0</v>
      </c>
      <c r="L221" s="191"/>
      <c r="M221" s="191"/>
      <c r="N221" s="30">
        <f>SUM(O221:W221)</f>
        <v>0</v>
      </c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2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2">
        <f>Y221+N221</f>
        <v>0</v>
      </c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196"/>
    </row>
    <row r="222" spans="1:59" s="197" customFormat="1" ht="75" x14ac:dyDescent="0.3">
      <c r="A222" s="154" t="str">
        <f t="shared" si="42"/>
        <v>п</v>
      </c>
      <c r="B222" s="155"/>
      <c r="C222" s="28"/>
      <c r="D222" s="234"/>
      <c r="E222" s="171"/>
      <c r="F222" s="234"/>
      <c r="G222" s="171"/>
      <c r="H222" s="171" t="s">
        <v>120</v>
      </c>
      <c r="I222" s="173" t="s">
        <v>221</v>
      </c>
      <c r="J222" s="175">
        <f t="shared" si="41"/>
        <v>6839660</v>
      </c>
      <c r="K222" s="175">
        <f>K223</f>
        <v>0</v>
      </c>
      <c r="L222" s="175">
        <f>L223</f>
        <v>6839660</v>
      </c>
      <c r="M222" s="175">
        <f>M223</f>
        <v>6839660</v>
      </c>
      <c r="N222" s="30">
        <f>SUM(O222:W222)</f>
        <v>0</v>
      </c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2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2">
        <f>Y222+N222</f>
        <v>0</v>
      </c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  <c r="BF222" s="44"/>
      <c r="BG222" s="196"/>
    </row>
    <row r="223" spans="1:59" s="197" customFormat="1" ht="19.5" x14ac:dyDescent="0.3">
      <c r="A223" s="154" t="str">
        <f t="shared" si="42"/>
        <v>п</v>
      </c>
      <c r="B223" s="155" t="s">
        <v>178</v>
      </c>
      <c r="C223" s="28"/>
      <c r="D223" s="177" t="s">
        <v>29</v>
      </c>
      <c r="E223" s="177"/>
      <c r="F223" s="177"/>
      <c r="G223" s="179" t="s">
        <v>3</v>
      </c>
      <c r="H223" s="269"/>
      <c r="I223" s="181"/>
      <c r="J223" s="183">
        <f t="shared" si="41"/>
        <v>6839660</v>
      </c>
      <c r="K223" s="183">
        <f t="shared" ref="K223:M224" si="48">+K224</f>
        <v>0</v>
      </c>
      <c r="L223" s="183">
        <f t="shared" si="48"/>
        <v>6839660</v>
      </c>
      <c r="M223" s="183">
        <f t="shared" si="48"/>
        <v>6839660</v>
      </c>
      <c r="N223" s="30">
        <f>SUM(O223:W223)</f>
        <v>0</v>
      </c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32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32">
        <f>Y223+N223</f>
        <v>0</v>
      </c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  <c r="BF223" s="44"/>
      <c r="BG223" s="196"/>
    </row>
    <row r="224" spans="1:59" s="197" customFormat="1" ht="19.5" x14ac:dyDescent="0.3">
      <c r="A224" s="154" t="str">
        <f t="shared" si="42"/>
        <v>п</v>
      </c>
      <c r="B224" s="155" t="s">
        <v>178</v>
      </c>
      <c r="C224" s="28"/>
      <c r="D224" s="177" t="s">
        <v>28</v>
      </c>
      <c r="E224" s="177"/>
      <c r="F224" s="177"/>
      <c r="G224" s="179" t="s">
        <v>3</v>
      </c>
      <c r="H224" s="245"/>
      <c r="I224" s="225"/>
      <c r="J224" s="250">
        <f t="shared" si="41"/>
        <v>6839660</v>
      </c>
      <c r="K224" s="250">
        <f t="shared" si="48"/>
        <v>0</v>
      </c>
      <c r="L224" s="270">
        <f t="shared" si="48"/>
        <v>6839660</v>
      </c>
      <c r="M224" s="270">
        <f t="shared" si="48"/>
        <v>6839660</v>
      </c>
      <c r="N224" s="30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32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32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  <c r="BF224" s="44"/>
      <c r="BG224" s="196"/>
    </row>
    <row r="225" spans="1:65" s="197" customFormat="1" ht="38.25" thickBot="1" x14ac:dyDescent="0.35">
      <c r="A225" s="154" t="str">
        <f t="shared" si="42"/>
        <v>п</v>
      </c>
      <c r="B225" s="155" t="s">
        <v>178</v>
      </c>
      <c r="C225" s="28"/>
      <c r="D225" s="253" t="s">
        <v>73</v>
      </c>
      <c r="E225" s="251">
        <v>7670</v>
      </c>
      <c r="F225" s="253" t="s">
        <v>153</v>
      </c>
      <c r="G225" s="254" t="s">
        <v>75</v>
      </c>
      <c r="H225" s="252"/>
      <c r="I225" s="255"/>
      <c r="J225" s="256">
        <f t="shared" si="41"/>
        <v>6839660</v>
      </c>
      <c r="K225" s="256"/>
      <c r="L225" s="276">
        <f>5000000+1200000+1200000-1501032+561000+215460+164232</f>
        <v>6839660</v>
      </c>
      <c r="M225" s="276">
        <f>5000000+1200000+1200000-1501032+561000+215460+164232</f>
        <v>6839660</v>
      </c>
      <c r="N225" s="30">
        <f>SUM(O225:W225)</f>
        <v>0</v>
      </c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>
        <f>Y225+N225</f>
        <v>0</v>
      </c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  <c r="BF225" s="44"/>
      <c r="BG225" s="196"/>
    </row>
    <row r="226" spans="1:65" s="195" customFormat="1" ht="117" customHeight="1" x14ac:dyDescent="0.3">
      <c r="A226" s="154" t="str">
        <f t="shared" si="42"/>
        <v>п</v>
      </c>
      <c r="B226" s="155"/>
      <c r="C226" s="28"/>
      <c r="D226" s="277"/>
      <c r="E226" s="273"/>
      <c r="F226" s="277"/>
      <c r="G226" s="278"/>
      <c r="H226" s="279" t="s">
        <v>85</v>
      </c>
      <c r="I226" s="280" t="s">
        <v>220</v>
      </c>
      <c r="J226" s="281">
        <f t="shared" si="41"/>
        <v>105750</v>
      </c>
      <c r="K226" s="282">
        <f>K227</f>
        <v>0</v>
      </c>
      <c r="L226" s="282">
        <f>L227</f>
        <v>105750</v>
      </c>
      <c r="M226" s="282">
        <f>M227</f>
        <v>105750</v>
      </c>
      <c r="N226" s="30">
        <f t="shared" ref="N226:N232" si="49">SUM(O226:W226)</f>
        <v>0</v>
      </c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2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2">
        <f t="shared" ref="AK226:AK232" si="50">Y226+N226</f>
        <v>0</v>
      </c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196"/>
    </row>
    <row r="227" spans="1:65" s="197" customFormat="1" ht="19.5" x14ac:dyDescent="0.3">
      <c r="A227" s="154" t="str">
        <f>IF(J227=0,"","п")</f>
        <v>п</v>
      </c>
      <c r="B227" s="155" t="s">
        <v>178</v>
      </c>
      <c r="C227" s="103"/>
      <c r="D227" s="177" t="s">
        <v>29</v>
      </c>
      <c r="E227" s="177"/>
      <c r="F227" s="177"/>
      <c r="G227" s="179" t="s">
        <v>3</v>
      </c>
      <c r="H227" s="200"/>
      <c r="I227" s="201"/>
      <c r="J227" s="202">
        <f t="shared" si="41"/>
        <v>105750</v>
      </c>
      <c r="K227" s="204">
        <f>+K228</f>
        <v>0</v>
      </c>
      <c r="L227" s="204">
        <f>+L228</f>
        <v>105750</v>
      </c>
      <c r="M227" s="204">
        <f>+M228</f>
        <v>105750</v>
      </c>
      <c r="N227" s="30">
        <f t="shared" si="49"/>
        <v>0</v>
      </c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32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32">
        <f t="shared" si="50"/>
        <v>0</v>
      </c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4"/>
      <c r="BE227" s="44"/>
      <c r="BF227" s="44"/>
      <c r="BG227" s="196"/>
    </row>
    <row r="228" spans="1:65" s="197" customFormat="1" ht="19.5" x14ac:dyDescent="0.3">
      <c r="A228" s="154" t="str">
        <f t="shared" si="42"/>
        <v>п</v>
      </c>
      <c r="B228" s="155" t="s">
        <v>178</v>
      </c>
      <c r="C228" s="103"/>
      <c r="D228" s="177" t="s">
        <v>28</v>
      </c>
      <c r="E228" s="177"/>
      <c r="F228" s="177"/>
      <c r="G228" s="179" t="s">
        <v>3</v>
      </c>
      <c r="H228" s="257"/>
      <c r="I228" s="258"/>
      <c r="J228" s="259">
        <f t="shared" si="41"/>
        <v>105750</v>
      </c>
      <c r="K228" s="267">
        <f>+K230+K229</f>
        <v>0</v>
      </c>
      <c r="L228" s="267">
        <f>+L230+L229</f>
        <v>105750</v>
      </c>
      <c r="M228" s="267">
        <f>+M230+M229</f>
        <v>105750</v>
      </c>
      <c r="N228" s="30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32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32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  <c r="BF228" s="44"/>
      <c r="BG228" s="196"/>
    </row>
    <row r="229" spans="1:65" s="44" customFormat="1" ht="37.5" hidden="1" x14ac:dyDescent="0.25">
      <c r="A229" s="27" t="str">
        <f t="shared" si="42"/>
        <v/>
      </c>
      <c r="B229" s="28" t="s">
        <v>178</v>
      </c>
      <c r="C229" s="103"/>
      <c r="D229" s="368" t="s">
        <v>212</v>
      </c>
      <c r="E229" s="368" t="s">
        <v>213</v>
      </c>
      <c r="F229" s="368" t="s">
        <v>214</v>
      </c>
      <c r="G229" s="442" t="s">
        <v>215</v>
      </c>
      <c r="H229" s="188"/>
      <c r="I229" s="111"/>
      <c r="J229" s="129">
        <f t="shared" si="41"/>
        <v>0</v>
      </c>
      <c r="K229" s="37"/>
      <c r="L229" s="35"/>
      <c r="M229" s="35"/>
      <c r="N229" s="67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9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9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107"/>
      <c r="BH229" s="33"/>
      <c r="BI229" s="33"/>
      <c r="BJ229" s="33"/>
      <c r="BK229" s="33"/>
      <c r="BL229" s="33"/>
      <c r="BM229" s="33"/>
    </row>
    <row r="230" spans="1:65" s="195" customFormat="1" ht="19.5" thickBot="1" x14ac:dyDescent="0.35">
      <c r="A230" s="154" t="str">
        <f t="shared" si="42"/>
        <v>п</v>
      </c>
      <c r="B230" s="155" t="s">
        <v>178</v>
      </c>
      <c r="C230" s="28"/>
      <c r="D230" s="261" t="s">
        <v>77</v>
      </c>
      <c r="E230" s="253" t="s">
        <v>78</v>
      </c>
      <c r="F230" s="253" t="s">
        <v>156</v>
      </c>
      <c r="G230" s="254" t="s">
        <v>79</v>
      </c>
      <c r="H230" s="262"/>
      <c r="I230" s="255"/>
      <c r="J230" s="268">
        <f t="shared" si="41"/>
        <v>105750</v>
      </c>
      <c r="K230" s="256"/>
      <c r="L230" s="283">
        <v>105750</v>
      </c>
      <c r="M230" s="283">
        <v>105750</v>
      </c>
      <c r="N230" s="30">
        <f t="shared" si="49"/>
        <v>0</v>
      </c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2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2">
        <f t="shared" si="50"/>
        <v>0</v>
      </c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196"/>
    </row>
    <row r="231" spans="1:65" s="195" customFormat="1" ht="60" customHeight="1" x14ac:dyDescent="0.3">
      <c r="A231" s="154" t="str">
        <f t="shared" si="42"/>
        <v>п</v>
      </c>
      <c r="B231" s="155"/>
      <c r="C231" s="28"/>
      <c r="D231" s="170"/>
      <c r="E231" s="169"/>
      <c r="F231" s="170"/>
      <c r="G231" s="171"/>
      <c r="H231" s="172" t="s">
        <v>264</v>
      </c>
      <c r="I231" s="238" t="s">
        <v>285</v>
      </c>
      <c r="J231" s="174">
        <f>+K231+L231</f>
        <v>79258901.140000001</v>
      </c>
      <c r="K231" s="175">
        <f>+K232+K259+K272+K280+K268+K307</f>
        <v>9491779.3900000006</v>
      </c>
      <c r="L231" s="175">
        <f>+L232+L259+L272+L280+L268+L307</f>
        <v>69767121.75</v>
      </c>
      <c r="M231" s="175">
        <f>+M232+M259+M272+M280+M268+M307</f>
        <v>69767121.75</v>
      </c>
      <c r="N231" s="30">
        <f t="shared" si="49"/>
        <v>0</v>
      </c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2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2">
        <f t="shared" si="50"/>
        <v>0</v>
      </c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196"/>
    </row>
    <row r="232" spans="1:65" s="44" customFormat="1" ht="39.75" customHeight="1" x14ac:dyDescent="0.25">
      <c r="A232" s="27" t="str">
        <f t="shared" si="42"/>
        <v>п</v>
      </c>
      <c r="B232" s="155" t="s">
        <v>178</v>
      </c>
      <c r="C232" s="103"/>
      <c r="D232" s="177" t="s">
        <v>29</v>
      </c>
      <c r="E232" s="177"/>
      <c r="F232" s="177"/>
      <c r="G232" s="179" t="s">
        <v>3</v>
      </c>
      <c r="H232" s="200"/>
      <c r="I232" s="201"/>
      <c r="J232" s="202">
        <f t="shared" si="41"/>
        <v>1440377</v>
      </c>
      <c r="K232" s="203">
        <f>+K233</f>
        <v>422414</v>
      </c>
      <c r="L232" s="203">
        <f>+L233</f>
        <v>1017963</v>
      </c>
      <c r="M232" s="203">
        <f>+M233</f>
        <v>1017963</v>
      </c>
      <c r="N232" s="30">
        <f t="shared" si="49"/>
        <v>0</v>
      </c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32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32">
        <f t="shared" si="50"/>
        <v>0</v>
      </c>
      <c r="BG232" s="107"/>
    </row>
    <row r="233" spans="1:65" s="44" customFormat="1" ht="39.75" customHeight="1" x14ac:dyDescent="0.25">
      <c r="A233" s="27" t="str">
        <f t="shared" si="42"/>
        <v>п</v>
      </c>
      <c r="B233" s="155" t="s">
        <v>178</v>
      </c>
      <c r="C233" s="103"/>
      <c r="D233" s="177" t="s">
        <v>28</v>
      </c>
      <c r="E233" s="177"/>
      <c r="F233" s="177"/>
      <c r="G233" s="179" t="s">
        <v>3</v>
      </c>
      <c r="H233" s="200"/>
      <c r="I233" s="201"/>
      <c r="J233" s="202">
        <f>+K233+L233</f>
        <v>1440377</v>
      </c>
      <c r="K233" s="203">
        <f>SUM(K234:K258)-K240</f>
        <v>422414</v>
      </c>
      <c r="L233" s="203">
        <f>SUM(L234:L258)-L240</f>
        <v>1017963</v>
      </c>
      <c r="M233" s="203">
        <f>SUM(M234:M258)-M240</f>
        <v>1017963</v>
      </c>
      <c r="N233" s="30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32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32"/>
      <c r="BG233" s="107"/>
    </row>
    <row r="234" spans="1:65" s="33" customFormat="1" ht="76.5" hidden="1" customHeight="1" x14ac:dyDescent="0.25">
      <c r="A234" s="27" t="str">
        <f t="shared" si="42"/>
        <v/>
      </c>
      <c r="B234" s="28" t="s">
        <v>178</v>
      </c>
      <c r="C234" s="105"/>
      <c r="D234" s="365" t="s">
        <v>101</v>
      </c>
      <c r="E234" s="365" t="s">
        <v>102</v>
      </c>
      <c r="F234" s="186" t="s">
        <v>93</v>
      </c>
      <c r="G234" s="390" t="s">
        <v>103</v>
      </c>
      <c r="H234" s="263"/>
      <c r="I234" s="264"/>
      <c r="J234" s="265">
        <f t="shared" si="41"/>
        <v>0</v>
      </c>
      <c r="K234" s="266"/>
      <c r="L234" s="266"/>
      <c r="M234" s="266"/>
      <c r="N234" s="67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9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9"/>
      <c r="BG234" s="107"/>
    </row>
    <row r="235" spans="1:65" s="33" customFormat="1" ht="40.5" hidden="1" customHeight="1" x14ac:dyDescent="0.25">
      <c r="A235" s="27" t="str">
        <f t="shared" si="42"/>
        <v/>
      </c>
      <c r="B235" s="28" t="s">
        <v>178</v>
      </c>
      <c r="C235" s="105"/>
      <c r="D235" s="365" t="s">
        <v>44</v>
      </c>
      <c r="E235" s="365" t="s">
        <v>172</v>
      </c>
      <c r="F235" s="186" t="s">
        <v>161</v>
      </c>
      <c r="G235" s="390" t="s">
        <v>170</v>
      </c>
      <c r="H235" s="263"/>
      <c r="I235" s="123"/>
      <c r="J235" s="136">
        <f t="shared" si="41"/>
        <v>0</v>
      </c>
      <c r="K235" s="49"/>
      <c r="L235" s="49"/>
      <c r="M235" s="49"/>
      <c r="N235" s="67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9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9"/>
      <c r="BG235" s="107"/>
    </row>
    <row r="236" spans="1:65" s="33" customFormat="1" ht="23.25" hidden="1" customHeight="1" x14ac:dyDescent="0.25">
      <c r="A236" s="27" t="str">
        <f t="shared" si="42"/>
        <v/>
      </c>
      <c r="B236" s="28" t="s">
        <v>178</v>
      </c>
      <c r="C236" s="105"/>
      <c r="D236" s="365" t="s">
        <v>110</v>
      </c>
      <c r="E236" s="365" t="s">
        <v>111</v>
      </c>
      <c r="F236" s="186" t="s">
        <v>112</v>
      </c>
      <c r="G236" s="390" t="s">
        <v>113</v>
      </c>
      <c r="H236" s="263"/>
      <c r="I236" s="123"/>
      <c r="J236" s="136">
        <f t="shared" si="41"/>
        <v>0</v>
      </c>
      <c r="K236" s="49"/>
      <c r="L236" s="49"/>
      <c r="M236" s="49"/>
      <c r="N236" s="67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9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9"/>
      <c r="BG236" s="107"/>
    </row>
    <row r="237" spans="1:65" s="33" customFormat="1" ht="61.5" hidden="1" customHeight="1" x14ac:dyDescent="0.25">
      <c r="A237" s="27" t="str">
        <f t="shared" si="42"/>
        <v/>
      </c>
      <c r="B237" s="28" t="s">
        <v>178</v>
      </c>
      <c r="C237" s="103"/>
      <c r="D237" s="210" t="s">
        <v>41</v>
      </c>
      <c r="E237" s="185" t="s">
        <v>42</v>
      </c>
      <c r="F237" s="186" t="s">
        <v>87</v>
      </c>
      <c r="G237" s="187" t="s">
        <v>43</v>
      </c>
      <c r="H237" s="188"/>
      <c r="I237" s="111"/>
      <c r="J237" s="129">
        <f t="shared" si="41"/>
        <v>0</v>
      </c>
      <c r="K237" s="37"/>
      <c r="L237" s="37"/>
      <c r="M237" s="37"/>
      <c r="N237" s="67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9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9"/>
      <c r="BG237" s="107"/>
    </row>
    <row r="238" spans="1:65" s="33" customFormat="1" ht="21" hidden="1" customHeight="1" x14ac:dyDescent="0.25">
      <c r="A238" s="27" t="str">
        <f t="shared" si="42"/>
        <v/>
      </c>
      <c r="B238" s="28" t="s">
        <v>178</v>
      </c>
      <c r="C238" s="103"/>
      <c r="D238" s="210"/>
      <c r="E238" s="185"/>
      <c r="F238" s="186"/>
      <c r="G238" s="187"/>
      <c r="H238" s="214"/>
      <c r="I238" s="111"/>
      <c r="J238" s="37">
        <f t="shared" si="41"/>
        <v>0</v>
      </c>
      <c r="K238" s="37"/>
      <c r="L238" s="37"/>
      <c r="M238" s="37"/>
      <c r="N238" s="67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9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9"/>
      <c r="BG238" s="107"/>
    </row>
    <row r="239" spans="1:65" s="33" customFormat="1" ht="76.5" hidden="1" customHeight="1" x14ac:dyDescent="0.25">
      <c r="A239" s="27" t="str">
        <f t="shared" si="42"/>
        <v/>
      </c>
      <c r="B239" s="28" t="s">
        <v>178</v>
      </c>
      <c r="C239" s="103"/>
      <c r="D239" s="210" t="s">
        <v>47</v>
      </c>
      <c r="E239" s="185" t="s">
        <v>48</v>
      </c>
      <c r="F239" s="186" t="s">
        <v>152</v>
      </c>
      <c r="G239" s="187" t="s">
        <v>49</v>
      </c>
      <c r="H239" s="188"/>
      <c r="I239" s="111"/>
      <c r="J239" s="129">
        <f t="shared" si="41"/>
        <v>0</v>
      </c>
      <c r="K239" s="37"/>
      <c r="L239" s="41"/>
      <c r="M239" s="41"/>
      <c r="N239" s="67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9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9"/>
      <c r="BG239" s="107"/>
    </row>
    <row r="240" spans="1:65" s="87" customFormat="1" ht="39" hidden="1" customHeight="1" x14ac:dyDescent="0.3">
      <c r="A240" s="27" t="str">
        <f t="shared" si="42"/>
        <v/>
      </c>
      <c r="B240" s="101" t="s">
        <v>178</v>
      </c>
      <c r="C240" s="104"/>
      <c r="D240" s="463"/>
      <c r="E240" s="215"/>
      <c r="F240" s="216"/>
      <c r="G240" s="217" t="s">
        <v>22</v>
      </c>
      <c r="H240" s="284"/>
      <c r="I240" s="125"/>
      <c r="J240" s="130">
        <f t="shared" si="41"/>
        <v>0</v>
      </c>
      <c r="K240" s="34"/>
      <c r="L240" s="91"/>
      <c r="M240" s="91"/>
      <c r="N240" s="106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8"/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  <c r="AJ240" s="85"/>
      <c r="AK240" s="88"/>
      <c r="BG240" s="107"/>
    </row>
    <row r="241" spans="1:59" s="33" customFormat="1" ht="18" hidden="1" customHeight="1" x14ac:dyDescent="0.25">
      <c r="A241" s="27" t="str">
        <f t="shared" si="42"/>
        <v/>
      </c>
      <c r="B241" s="28" t="s">
        <v>178</v>
      </c>
      <c r="C241" s="103"/>
      <c r="D241" s="210" t="s">
        <v>106</v>
      </c>
      <c r="E241" s="185" t="s">
        <v>107</v>
      </c>
      <c r="F241" s="186" t="s">
        <v>108</v>
      </c>
      <c r="G241" s="187" t="s">
        <v>109</v>
      </c>
      <c r="H241" s="214"/>
      <c r="I241" s="111"/>
      <c r="J241" s="37">
        <f t="shared" si="41"/>
        <v>0</v>
      </c>
      <c r="K241" s="37"/>
      <c r="L241" s="37"/>
      <c r="M241" s="37"/>
      <c r="N241" s="30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2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2"/>
      <c r="BG241" s="107"/>
    </row>
    <row r="242" spans="1:59" s="33" customFormat="1" ht="21" hidden="1" customHeight="1" x14ac:dyDescent="0.25">
      <c r="A242" s="27" t="str">
        <f t="shared" si="42"/>
        <v/>
      </c>
      <c r="B242" s="28" t="s">
        <v>178</v>
      </c>
      <c r="C242" s="103"/>
      <c r="D242" s="210" t="s">
        <v>88</v>
      </c>
      <c r="E242" s="185" t="s">
        <v>89</v>
      </c>
      <c r="F242" s="186" t="s">
        <v>154</v>
      </c>
      <c r="G242" s="187" t="s">
        <v>90</v>
      </c>
      <c r="H242" s="188"/>
      <c r="I242" s="111"/>
      <c r="J242" s="129">
        <f t="shared" ref="J242:J276" si="51">+K242+L242</f>
        <v>0</v>
      </c>
      <c r="K242" s="37"/>
      <c r="L242" s="37"/>
      <c r="M242" s="37"/>
      <c r="N242" s="67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9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9"/>
      <c r="BG242" s="107"/>
    </row>
    <row r="243" spans="1:59" s="33" customFormat="1" ht="21" hidden="1" customHeight="1" x14ac:dyDescent="0.25">
      <c r="A243" s="27" t="str">
        <f t="shared" si="42"/>
        <v/>
      </c>
      <c r="B243" s="28" t="s">
        <v>178</v>
      </c>
      <c r="C243" s="103"/>
      <c r="D243" s="210"/>
      <c r="E243" s="185"/>
      <c r="F243" s="186"/>
      <c r="G243" s="187"/>
      <c r="H243" s="214"/>
      <c r="I243" s="111"/>
      <c r="J243" s="37">
        <f t="shared" si="51"/>
        <v>0</v>
      </c>
      <c r="K243" s="37"/>
      <c r="L243" s="37"/>
      <c r="M243" s="37"/>
      <c r="N243" s="67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9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9"/>
      <c r="BG243" s="107"/>
    </row>
    <row r="244" spans="1:59" s="33" customFormat="1" hidden="1" x14ac:dyDescent="0.25">
      <c r="A244" s="27" t="str">
        <f t="shared" si="42"/>
        <v/>
      </c>
      <c r="B244" s="28" t="s">
        <v>178</v>
      </c>
      <c r="C244" s="103"/>
      <c r="D244" s="210"/>
      <c r="E244" s="186"/>
      <c r="F244" s="186"/>
      <c r="G244" s="187"/>
      <c r="H244" s="214"/>
      <c r="I244" s="111"/>
      <c r="J244" s="37">
        <f t="shared" si="51"/>
        <v>0</v>
      </c>
      <c r="K244" s="37"/>
      <c r="L244" s="37"/>
      <c r="M244" s="37"/>
      <c r="N244" s="30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2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2"/>
      <c r="BG244" s="107"/>
    </row>
    <row r="245" spans="1:59" s="33" customFormat="1" ht="19.5" hidden="1" customHeight="1" x14ac:dyDescent="0.25">
      <c r="A245" s="27" t="str">
        <f t="shared" si="42"/>
        <v/>
      </c>
      <c r="B245" s="28" t="s">
        <v>178</v>
      </c>
      <c r="C245" s="103"/>
      <c r="D245" s="210" t="s">
        <v>226</v>
      </c>
      <c r="E245" s="185" t="s">
        <v>227</v>
      </c>
      <c r="F245" s="186" t="s">
        <v>214</v>
      </c>
      <c r="G245" s="187" t="s">
        <v>228</v>
      </c>
      <c r="H245" s="214"/>
      <c r="I245" s="111"/>
      <c r="J245" s="37">
        <f t="shared" si="51"/>
        <v>0</v>
      </c>
      <c r="K245" s="37"/>
      <c r="L245" s="37"/>
      <c r="M245" s="37"/>
      <c r="N245" s="67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9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9"/>
      <c r="BG245" s="107"/>
    </row>
    <row r="246" spans="1:59" s="33" customFormat="1" ht="18" hidden="1" customHeight="1" x14ac:dyDescent="0.25">
      <c r="A246" s="27" t="str">
        <f t="shared" si="42"/>
        <v/>
      </c>
      <c r="B246" s="28" t="s">
        <v>178</v>
      </c>
      <c r="C246" s="103"/>
      <c r="D246" s="210"/>
      <c r="E246" s="185"/>
      <c r="F246" s="186"/>
      <c r="G246" s="187"/>
      <c r="H246" s="214"/>
      <c r="I246" s="111"/>
      <c r="J246" s="37">
        <f t="shared" si="51"/>
        <v>0</v>
      </c>
      <c r="K246" s="37">
        <f>+K247</f>
        <v>0</v>
      </c>
      <c r="L246" s="37">
        <f>+L247</f>
        <v>0</v>
      </c>
      <c r="M246" s="37">
        <f>+M247</f>
        <v>0</v>
      </c>
      <c r="N246" s="30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2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2"/>
      <c r="BG246" s="107"/>
    </row>
    <row r="247" spans="1:59" s="33" customFormat="1" hidden="1" x14ac:dyDescent="0.25">
      <c r="A247" s="27" t="str">
        <f t="shared" si="42"/>
        <v/>
      </c>
      <c r="B247" s="28" t="s">
        <v>178</v>
      </c>
      <c r="C247" s="103"/>
      <c r="D247" s="210"/>
      <c r="E247" s="185"/>
      <c r="F247" s="186"/>
      <c r="G247" s="187"/>
      <c r="H247" s="214"/>
      <c r="I247" s="111"/>
      <c r="J247" s="37">
        <f t="shared" si="51"/>
        <v>0</v>
      </c>
      <c r="K247" s="37"/>
      <c r="L247" s="37"/>
      <c r="M247" s="37"/>
      <c r="N247" s="30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2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2"/>
      <c r="BG247" s="107"/>
    </row>
    <row r="248" spans="1:59" s="33" customFormat="1" ht="18.75" hidden="1" customHeight="1" x14ac:dyDescent="0.25">
      <c r="A248" s="27" t="str">
        <f t="shared" ref="A248:A311" si="52">IF(J248=0,"","п")</f>
        <v/>
      </c>
      <c r="B248" s="101" t="s">
        <v>178</v>
      </c>
      <c r="C248" s="104"/>
      <c r="D248" s="463"/>
      <c r="E248" s="215"/>
      <c r="F248" s="216"/>
      <c r="G248" s="239"/>
      <c r="H248" s="218"/>
      <c r="I248" s="125"/>
      <c r="J248" s="34">
        <f t="shared" si="51"/>
        <v>0</v>
      </c>
      <c r="K248" s="34"/>
      <c r="L248" s="34"/>
      <c r="M248" s="34"/>
      <c r="N248" s="67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9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9"/>
      <c r="BG248" s="107"/>
    </row>
    <row r="249" spans="1:59" s="33" customFormat="1" hidden="1" x14ac:dyDescent="0.25">
      <c r="A249" s="27" t="str">
        <f t="shared" si="52"/>
        <v/>
      </c>
      <c r="B249" s="28" t="s">
        <v>178</v>
      </c>
      <c r="C249" s="103"/>
      <c r="D249" s="210"/>
      <c r="E249" s="273"/>
      <c r="F249" s="277"/>
      <c r="G249" s="390"/>
      <c r="H249" s="214"/>
      <c r="I249" s="111"/>
      <c r="J249" s="37">
        <f t="shared" si="51"/>
        <v>0</v>
      </c>
      <c r="K249" s="37"/>
      <c r="L249" s="37"/>
      <c r="M249" s="37"/>
      <c r="N249" s="30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2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2"/>
      <c r="BG249" s="107"/>
    </row>
    <row r="250" spans="1:59" s="33" customFormat="1" hidden="1" x14ac:dyDescent="0.25">
      <c r="A250" s="27" t="str">
        <f t="shared" si="52"/>
        <v/>
      </c>
      <c r="B250" s="28" t="s">
        <v>178</v>
      </c>
      <c r="C250" s="103"/>
      <c r="D250" s="210"/>
      <c r="E250" s="273"/>
      <c r="F250" s="186"/>
      <c r="G250" s="390"/>
      <c r="H250" s="214"/>
      <c r="I250" s="111"/>
      <c r="J250" s="37">
        <f t="shared" si="51"/>
        <v>0</v>
      </c>
      <c r="K250" s="37"/>
      <c r="L250" s="37">
        <f>147000-147000</f>
        <v>0</v>
      </c>
      <c r="M250" s="37">
        <f>147000-147000</f>
        <v>0</v>
      </c>
      <c r="N250" s="30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2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2"/>
      <c r="BG250" s="107"/>
    </row>
    <row r="251" spans="1:59" s="33" customFormat="1" hidden="1" x14ac:dyDescent="0.25">
      <c r="A251" s="27" t="str">
        <f t="shared" si="52"/>
        <v/>
      </c>
      <c r="B251" s="28" t="s">
        <v>178</v>
      </c>
      <c r="C251" s="103"/>
      <c r="D251" s="210"/>
      <c r="E251" s="185"/>
      <c r="F251" s="186"/>
      <c r="G251" s="187"/>
      <c r="H251" s="214"/>
      <c r="I251" s="111"/>
      <c r="J251" s="37">
        <f t="shared" si="51"/>
        <v>0</v>
      </c>
      <c r="K251" s="37"/>
      <c r="L251" s="37"/>
      <c r="M251" s="37"/>
      <c r="N251" s="30">
        <f>SUM(O251:W251)</f>
        <v>0</v>
      </c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2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2">
        <f>Y251+N251</f>
        <v>0</v>
      </c>
      <c r="BG251" s="107"/>
    </row>
    <row r="252" spans="1:59" s="33" customFormat="1" ht="18" hidden="1" customHeight="1" x14ac:dyDescent="0.25">
      <c r="A252" s="27" t="str">
        <f t="shared" si="52"/>
        <v/>
      </c>
      <c r="B252" s="28" t="s">
        <v>178</v>
      </c>
      <c r="C252" s="103"/>
      <c r="D252" s="210"/>
      <c r="E252" s="366"/>
      <c r="F252" s="277"/>
      <c r="G252" s="390"/>
      <c r="H252" s="214"/>
      <c r="I252" s="111"/>
      <c r="J252" s="37">
        <f t="shared" si="51"/>
        <v>0</v>
      </c>
      <c r="K252" s="37"/>
      <c r="L252" s="37"/>
      <c r="M252" s="37"/>
      <c r="N252" s="30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2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2"/>
      <c r="BG252" s="107"/>
    </row>
    <row r="253" spans="1:59" s="87" customFormat="1" ht="20.25" hidden="1" customHeight="1" x14ac:dyDescent="0.3">
      <c r="A253" s="27" t="str">
        <f t="shared" si="52"/>
        <v/>
      </c>
      <c r="B253" s="101" t="s">
        <v>178</v>
      </c>
      <c r="C253" s="104"/>
      <c r="D253" s="463"/>
      <c r="E253" s="215"/>
      <c r="F253" s="216"/>
      <c r="G253" s="239"/>
      <c r="H253" s="218"/>
      <c r="I253" s="125"/>
      <c r="J253" s="34">
        <f t="shared" si="51"/>
        <v>0</v>
      </c>
      <c r="K253" s="34"/>
      <c r="L253" s="34"/>
      <c r="M253" s="34"/>
      <c r="N253" s="84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6"/>
      <c r="Z253" s="88"/>
      <c r="AA253" s="88"/>
      <c r="AB253" s="88"/>
      <c r="AC253" s="88"/>
      <c r="AD253" s="88"/>
      <c r="AE253" s="88"/>
      <c r="AF253" s="88"/>
      <c r="AG253" s="88"/>
      <c r="AH253" s="88"/>
      <c r="AI253" s="88"/>
      <c r="AJ253" s="88"/>
      <c r="AK253" s="86"/>
      <c r="BG253" s="107"/>
    </row>
    <row r="254" spans="1:59" s="87" customFormat="1" ht="20.25" hidden="1" customHeight="1" x14ac:dyDescent="0.3">
      <c r="A254" s="27" t="str">
        <f t="shared" si="52"/>
        <v/>
      </c>
      <c r="B254" s="28" t="s">
        <v>178</v>
      </c>
      <c r="C254" s="104"/>
      <c r="D254" s="186"/>
      <c r="E254" s="214"/>
      <c r="F254" s="186"/>
      <c r="G254" s="187"/>
      <c r="H254" s="214"/>
      <c r="I254" s="111"/>
      <c r="J254" s="37">
        <f t="shared" si="51"/>
        <v>0</v>
      </c>
      <c r="K254" s="37"/>
      <c r="L254" s="37"/>
      <c r="M254" s="37"/>
      <c r="N254" s="84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6"/>
      <c r="Z254" s="88"/>
      <c r="AA254" s="88"/>
      <c r="AB254" s="88"/>
      <c r="AC254" s="88"/>
      <c r="AD254" s="88"/>
      <c r="AE254" s="88"/>
      <c r="AF254" s="88"/>
      <c r="AG254" s="88"/>
      <c r="AH254" s="88"/>
      <c r="AI254" s="88"/>
      <c r="AJ254" s="88"/>
      <c r="AK254" s="86"/>
      <c r="BG254" s="107"/>
    </row>
    <row r="255" spans="1:59" s="33" customFormat="1" ht="58.5" hidden="1" customHeight="1" x14ac:dyDescent="0.25">
      <c r="A255" s="27" t="str">
        <f t="shared" si="52"/>
        <v/>
      </c>
      <c r="B255" s="28" t="s">
        <v>178</v>
      </c>
      <c r="C255" s="103"/>
      <c r="D255" s="210"/>
      <c r="E255" s="214"/>
      <c r="F255" s="186"/>
      <c r="G255" s="187"/>
      <c r="H255" s="214"/>
      <c r="I255" s="111"/>
      <c r="J255" s="37">
        <f t="shared" si="51"/>
        <v>0</v>
      </c>
      <c r="K255" s="37"/>
      <c r="L255" s="37"/>
      <c r="M255" s="37"/>
      <c r="N255" s="30">
        <f>SUM(O255:W255)</f>
        <v>0</v>
      </c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2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2">
        <f>Y255+N255</f>
        <v>0</v>
      </c>
      <c r="BG255" s="107"/>
    </row>
    <row r="256" spans="1:59" s="33" customFormat="1" ht="21" customHeight="1" x14ac:dyDescent="0.25">
      <c r="A256" s="27" t="str">
        <f t="shared" si="52"/>
        <v>п</v>
      </c>
      <c r="B256" s="155" t="s">
        <v>178</v>
      </c>
      <c r="C256" s="103"/>
      <c r="D256" s="210" t="s">
        <v>77</v>
      </c>
      <c r="E256" s="185">
        <v>9770</v>
      </c>
      <c r="F256" s="186" t="s">
        <v>156</v>
      </c>
      <c r="G256" s="187" t="s">
        <v>79</v>
      </c>
      <c r="H256" s="214"/>
      <c r="I256" s="189"/>
      <c r="J256" s="191">
        <f t="shared" si="51"/>
        <v>1117963</v>
      </c>
      <c r="K256" s="191">
        <v>100000</v>
      </c>
      <c r="L256" s="191">
        <f>336000-2037+684000</f>
        <v>1017963</v>
      </c>
      <c r="M256" s="191">
        <f>336000-2037+684000</f>
        <v>1017963</v>
      </c>
      <c r="N256" s="30">
        <f>SUM(O256:W256)</f>
        <v>0</v>
      </c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2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2">
        <f>Y256+N256</f>
        <v>0</v>
      </c>
      <c r="BG256" s="107"/>
    </row>
    <row r="257" spans="1:59" s="33" customFormat="1" ht="56.25" x14ac:dyDescent="0.25">
      <c r="A257" s="27" t="str">
        <f t="shared" si="52"/>
        <v>п</v>
      </c>
      <c r="B257" s="155" t="s">
        <v>178</v>
      </c>
      <c r="C257" s="103"/>
      <c r="D257" s="365" t="s">
        <v>98</v>
      </c>
      <c r="E257" s="273" t="s">
        <v>99</v>
      </c>
      <c r="F257" s="277" t="s">
        <v>156</v>
      </c>
      <c r="G257" s="390" t="s">
        <v>100</v>
      </c>
      <c r="H257" s="263"/>
      <c r="I257" s="123"/>
      <c r="J257" s="265">
        <f t="shared" si="51"/>
        <v>322414</v>
      </c>
      <c r="K257" s="266">
        <v>322414</v>
      </c>
      <c r="L257" s="266"/>
      <c r="M257" s="266"/>
      <c r="N257" s="30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2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2"/>
      <c r="BG257" s="107"/>
    </row>
    <row r="258" spans="1:59" s="33" customFormat="1" hidden="1" x14ac:dyDescent="0.25">
      <c r="A258" s="27" t="str">
        <f t="shared" si="52"/>
        <v/>
      </c>
      <c r="B258" s="28" t="s">
        <v>178</v>
      </c>
      <c r="C258" s="103"/>
      <c r="D258" s="210"/>
      <c r="E258" s="273"/>
      <c r="F258" s="277"/>
      <c r="G258" s="390"/>
      <c r="H258" s="273"/>
      <c r="I258" s="123"/>
      <c r="J258" s="49">
        <f t="shared" si="51"/>
        <v>0</v>
      </c>
      <c r="K258" s="49"/>
      <c r="L258" s="49"/>
      <c r="M258" s="49"/>
      <c r="N258" s="30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2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2"/>
      <c r="BG258" s="107"/>
    </row>
    <row r="259" spans="1:59" s="44" customFormat="1" ht="36.75" hidden="1" customHeight="1" x14ac:dyDescent="0.25">
      <c r="A259" s="27" t="str">
        <f t="shared" si="52"/>
        <v/>
      </c>
      <c r="B259" s="28" t="s">
        <v>180</v>
      </c>
      <c r="C259" s="28"/>
      <c r="D259" s="177" t="s">
        <v>55</v>
      </c>
      <c r="E259" s="178"/>
      <c r="F259" s="178"/>
      <c r="G259" s="179" t="s">
        <v>2</v>
      </c>
      <c r="H259" s="200"/>
      <c r="I259" s="140"/>
      <c r="J259" s="131">
        <f t="shared" si="51"/>
        <v>0</v>
      </c>
      <c r="K259" s="60">
        <f>+K260</f>
        <v>0</v>
      </c>
      <c r="L259" s="60">
        <f>+L260</f>
        <v>0</v>
      </c>
      <c r="M259" s="60">
        <f>+M260</f>
        <v>0</v>
      </c>
      <c r="N259" s="30">
        <f>SUM(O259:W259)</f>
        <v>0</v>
      </c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32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32">
        <f>Y259+N259</f>
        <v>0</v>
      </c>
      <c r="BG259" s="107"/>
    </row>
    <row r="260" spans="1:59" s="44" customFormat="1" ht="36.75" hidden="1" customHeight="1" x14ac:dyDescent="0.25">
      <c r="A260" s="27" t="str">
        <f t="shared" si="52"/>
        <v/>
      </c>
      <c r="B260" s="28" t="s">
        <v>180</v>
      </c>
      <c r="C260" s="28"/>
      <c r="D260" s="177" t="s">
        <v>56</v>
      </c>
      <c r="E260" s="178"/>
      <c r="F260" s="178"/>
      <c r="G260" s="179" t="s">
        <v>2</v>
      </c>
      <c r="H260" s="200"/>
      <c r="I260" s="140"/>
      <c r="J260" s="131">
        <f t="shared" si="51"/>
        <v>0</v>
      </c>
      <c r="K260" s="60">
        <f>SUM(K261:K267)-K264-K262</f>
        <v>0</v>
      </c>
      <c r="L260" s="60">
        <f>SUM(L261:L267)-L264-L262</f>
        <v>0</v>
      </c>
      <c r="M260" s="60">
        <f>SUM(M261:M267)-M264-M262</f>
        <v>0</v>
      </c>
      <c r="N260" s="30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32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32"/>
      <c r="BG260" s="107"/>
    </row>
    <row r="261" spans="1:59" s="33" customFormat="1" ht="60.75" hidden="1" customHeight="1" x14ac:dyDescent="0.25">
      <c r="A261" s="27" t="str">
        <f t="shared" si="52"/>
        <v/>
      </c>
      <c r="B261" s="28" t="s">
        <v>180</v>
      </c>
      <c r="C261" s="28"/>
      <c r="D261" s="210" t="s">
        <v>135</v>
      </c>
      <c r="E261" s="186" t="s">
        <v>92</v>
      </c>
      <c r="F261" s="186" t="s">
        <v>93</v>
      </c>
      <c r="G261" s="390" t="s">
        <v>94</v>
      </c>
      <c r="H261" s="188" t="s">
        <v>148</v>
      </c>
      <c r="I261" s="111"/>
      <c r="J261" s="129">
        <f t="shared" si="51"/>
        <v>0</v>
      </c>
      <c r="K261" s="37"/>
      <c r="L261" s="35"/>
      <c r="M261" s="35"/>
      <c r="N261" s="30">
        <f>SUM(O261:W261)</f>
        <v>0</v>
      </c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2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2">
        <f>Y261+N261</f>
        <v>0</v>
      </c>
      <c r="BG261" s="107"/>
    </row>
    <row r="262" spans="1:59" s="33" customFormat="1" ht="42" hidden="1" customHeight="1" x14ac:dyDescent="0.25">
      <c r="A262" s="27" t="str">
        <f t="shared" si="52"/>
        <v/>
      </c>
      <c r="B262" s="101" t="s">
        <v>180</v>
      </c>
      <c r="C262" s="104"/>
      <c r="D262" s="463"/>
      <c r="E262" s="215"/>
      <c r="F262" s="216"/>
      <c r="G262" s="217" t="s">
        <v>22</v>
      </c>
      <c r="H262" s="284"/>
      <c r="I262" s="125"/>
      <c r="J262" s="130">
        <f t="shared" si="51"/>
        <v>0</v>
      </c>
      <c r="K262" s="34"/>
      <c r="L262" s="34"/>
      <c r="M262" s="34"/>
      <c r="N262" s="67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9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9"/>
      <c r="BG262" s="107"/>
    </row>
    <row r="263" spans="1:59" s="33" customFormat="1" ht="99" hidden="1" customHeight="1" x14ac:dyDescent="0.25">
      <c r="A263" s="27" t="str">
        <f t="shared" si="52"/>
        <v/>
      </c>
      <c r="B263" s="28" t="s">
        <v>180</v>
      </c>
      <c r="C263" s="28"/>
      <c r="D263" s="210" t="s">
        <v>274</v>
      </c>
      <c r="E263" s="185" t="s">
        <v>275</v>
      </c>
      <c r="F263" s="186" t="s">
        <v>158</v>
      </c>
      <c r="G263" s="187" t="s">
        <v>276</v>
      </c>
      <c r="H263" s="188" t="s">
        <v>148</v>
      </c>
      <c r="I263" s="111"/>
      <c r="J263" s="129">
        <f t="shared" si="51"/>
        <v>0</v>
      </c>
      <c r="K263" s="37"/>
      <c r="L263" s="35"/>
      <c r="M263" s="35"/>
      <c r="N263" s="30">
        <f>SUM(O263:W263)</f>
        <v>0</v>
      </c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2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2">
        <f>Y263+N263</f>
        <v>0</v>
      </c>
      <c r="BG263" s="107"/>
    </row>
    <row r="264" spans="1:59" s="33" customFormat="1" ht="42" hidden="1" customHeight="1" x14ac:dyDescent="0.25">
      <c r="A264" s="27" t="str">
        <f t="shared" si="52"/>
        <v/>
      </c>
      <c r="B264" s="101" t="s">
        <v>180</v>
      </c>
      <c r="C264" s="104"/>
      <c r="D264" s="463"/>
      <c r="E264" s="215"/>
      <c r="F264" s="216"/>
      <c r="G264" s="217" t="s">
        <v>22</v>
      </c>
      <c r="H264" s="284"/>
      <c r="I264" s="125"/>
      <c r="J264" s="130">
        <f t="shared" si="51"/>
        <v>0</v>
      </c>
      <c r="K264" s="34"/>
      <c r="L264" s="34"/>
      <c r="M264" s="34"/>
      <c r="N264" s="67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9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9"/>
      <c r="BG264" s="107"/>
    </row>
    <row r="265" spans="1:59" s="33" customFormat="1" ht="19.5" hidden="1" customHeight="1" x14ac:dyDescent="0.25">
      <c r="A265" s="27" t="str">
        <f t="shared" si="52"/>
        <v/>
      </c>
      <c r="B265" s="28" t="s">
        <v>180</v>
      </c>
      <c r="C265" s="104"/>
      <c r="D265" s="210"/>
      <c r="E265" s="185"/>
      <c r="F265" s="186"/>
      <c r="G265" s="187"/>
      <c r="H265" s="218"/>
      <c r="I265" s="125"/>
      <c r="J265" s="34">
        <f t="shared" si="51"/>
        <v>0</v>
      </c>
      <c r="K265" s="34"/>
      <c r="L265" s="34"/>
      <c r="M265" s="34"/>
      <c r="N265" s="67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9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9"/>
      <c r="BG265" s="107"/>
    </row>
    <row r="266" spans="1:59" s="33" customFormat="1" ht="41.25" hidden="1" customHeight="1" x14ac:dyDescent="0.25">
      <c r="A266" s="27" t="str">
        <f t="shared" si="52"/>
        <v/>
      </c>
      <c r="B266" s="28" t="s">
        <v>180</v>
      </c>
      <c r="C266" s="28"/>
      <c r="D266" s="210"/>
      <c r="E266" s="185"/>
      <c r="F266" s="186"/>
      <c r="G266" s="187"/>
      <c r="H266" s="214"/>
      <c r="I266" s="111"/>
      <c r="J266" s="37">
        <f t="shared" si="51"/>
        <v>0</v>
      </c>
      <c r="K266" s="37"/>
      <c r="L266" s="35"/>
      <c r="M266" s="35"/>
      <c r="N266" s="30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2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2"/>
      <c r="BG266" s="107"/>
    </row>
    <row r="267" spans="1:59" s="33" customFormat="1" hidden="1" x14ac:dyDescent="0.25">
      <c r="A267" s="27" t="str">
        <f t="shared" si="52"/>
        <v/>
      </c>
      <c r="B267" s="28" t="s">
        <v>180</v>
      </c>
      <c r="C267" s="28"/>
      <c r="D267" s="186"/>
      <c r="E267" s="186"/>
      <c r="F267" s="186"/>
      <c r="G267" s="187"/>
      <c r="H267" s="214"/>
      <c r="I267" s="111"/>
      <c r="J267" s="37">
        <f t="shared" si="51"/>
        <v>0</v>
      </c>
      <c r="K267" s="37"/>
      <c r="L267" s="35"/>
      <c r="M267" s="35"/>
      <c r="N267" s="30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2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2"/>
      <c r="BG267" s="107"/>
    </row>
    <row r="268" spans="1:59" s="44" customFormat="1" ht="39" hidden="1" x14ac:dyDescent="0.25">
      <c r="A268" s="154" t="str">
        <f t="shared" si="52"/>
        <v/>
      </c>
      <c r="B268" s="28" t="s">
        <v>179</v>
      </c>
      <c r="C268" s="28"/>
      <c r="D268" s="198" t="s">
        <v>30</v>
      </c>
      <c r="E268" s="198"/>
      <c r="F268" s="198"/>
      <c r="G268" s="199" t="s">
        <v>18</v>
      </c>
      <c r="H268" s="269"/>
      <c r="I268" s="181"/>
      <c r="J268" s="183">
        <f t="shared" si="51"/>
        <v>0</v>
      </c>
      <c r="K268" s="183">
        <f>+K269</f>
        <v>0</v>
      </c>
      <c r="L268" s="183">
        <f>+L269</f>
        <v>0</v>
      </c>
      <c r="M268" s="183">
        <f>+M269</f>
        <v>0</v>
      </c>
      <c r="N268" s="30">
        <f>SUM(O268:W268)</f>
        <v>0</v>
      </c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32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32">
        <f>Y268+N268</f>
        <v>0</v>
      </c>
      <c r="BG268" s="107"/>
    </row>
    <row r="269" spans="1:59" s="44" customFormat="1" ht="39" hidden="1" x14ac:dyDescent="0.25">
      <c r="A269" s="154" t="str">
        <f t="shared" si="52"/>
        <v/>
      </c>
      <c r="B269" s="28" t="s">
        <v>179</v>
      </c>
      <c r="C269" s="28"/>
      <c r="D269" s="198" t="s">
        <v>31</v>
      </c>
      <c r="E269" s="198"/>
      <c r="F269" s="198"/>
      <c r="G269" s="199" t="s">
        <v>18</v>
      </c>
      <c r="H269" s="269"/>
      <c r="I269" s="181"/>
      <c r="J269" s="183">
        <f t="shared" si="51"/>
        <v>0</v>
      </c>
      <c r="K269" s="183">
        <f>SUM(K270)</f>
        <v>0</v>
      </c>
      <c r="L269" s="183">
        <f>SUM(L270)</f>
        <v>0</v>
      </c>
      <c r="M269" s="183">
        <f>SUM(M270)</f>
        <v>0</v>
      </c>
      <c r="N269" s="30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32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32"/>
      <c r="BG269" s="107"/>
    </row>
    <row r="270" spans="1:59" s="33" customFormat="1" ht="60" hidden="1" customHeight="1" x14ac:dyDescent="0.25">
      <c r="A270" s="154" t="str">
        <f t="shared" si="52"/>
        <v/>
      </c>
      <c r="B270" s="28" t="s">
        <v>179</v>
      </c>
      <c r="C270" s="28"/>
      <c r="D270" s="210" t="s">
        <v>225</v>
      </c>
      <c r="E270" s="186" t="s">
        <v>92</v>
      </c>
      <c r="F270" s="186" t="s">
        <v>93</v>
      </c>
      <c r="G270" s="390" t="s">
        <v>94</v>
      </c>
      <c r="H270" s="263"/>
      <c r="I270" s="264"/>
      <c r="J270" s="265">
        <f t="shared" si="51"/>
        <v>0</v>
      </c>
      <c r="K270" s="266"/>
      <c r="L270" s="266"/>
      <c r="M270" s="266"/>
      <c r="N270" s="30">
        <f>SUM(O270:W270)</f>
        <v>0</v>
      </c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2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2">
        <f>Y270+N270</f>
        <v>0</v>
      </c>
      <c r="BG270" s="107"/>
    </row>
    <row r="271" spans="1:59" s="87" customFormat="1" ht="42" hidden="1" customHeight="1" x14ac:dyDescent="0.3">
      <c r="A271" s="27" t="str">
        <f t="shared" si="52"/>
        <v/>
      </c>
      <c r="B271" s="101" t="s">
        <v>179</v>
      </c>
      <c r="C271" s="104"/>
      <c r="D271" s="463"/>
      <c r="E271" s="215"/>
      <c r="F271" s="216"/>
      <c r="G271" s="217" t="s">
        <v>22</v>
      </c>
      <c r="H271" s="284"/>
      <c r="I271" s="125"/>
      <c r="J271" s="130">
        <f t="shared" si="51"/>
        <v>0</v>
      </c>
      <c r="K271" s="34"/>
      <c r="L271" s="34"/>
      <c r="M271" s="34"/>
      <c r="N271" s="106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8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  <c r="AJ271" s="85"/>
      <c r="AK271" s="88"/>
      <c r="BG271" s="107"/>
    </row>
    <row r="272" spans="1:59" s="197" customFormat="1" ht="39" x14ac:dyDescent="0.3">
      <c r="A272" s="154" t="str">
        <f t="shared" si="52"/>
        <v>п</v>
      </c>
      <c r="B272" s="155" t="s">
        <v>13</v>
      </c>
      <c r="C272" s="28"/>
      <c r="D272" s="223" t="s">
        <v>165</v>
      </c>
      <c r="E272" s="198"/>
      <c r="F272" s="198"/>
      <c r="G272" s="199" t="s">
        <v>294</v>
      </c>
      <c r="H272" s="180"/>
      <c r="I272" s="181"/>
      <c r="J272" s="182">
        <f t="shared" si="51"/>
        <v>1415124.39</v>
      </c>
      <c r="K272" s="183">
        <f>+K273</f>
        <v>1118481.3899999999</v>
      </c>
      <c r="L272" s="183">
        <f>+L273</f>
        <v>296643</v>
      </c>
      <c r="M272" s="183">
        <f>+M273</f>
        <v>296643</v>
      </c>
      <c r="N272" s="30">
        <f>SUM(O272:W272)</f>
        <v>0</v>
      </c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32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32">
        <f>Y272+N272</f>
        <v>0</v>
      </c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  <c r="BB272" s="44"/>
      <c r="BC272" s="44"/>
      <c r="BD272" s="44"/>
      <c r="BE272" s="44"/>
      <c r="BF272" s="44"/>
      <c r="BG272" s="196"/>
    </row>
    <row r="273" spans="1:59" s="197" customFormat="1" ht="39" x14ac:dyDescent="0.3">
      <c r="A273" s="154" t="str">
        <f t="shared" si="52"/>
        <v>п</v>
      </c>
      <c r="B273" s="155" t="s">
        <v>13</v>
      </c>
      <c r="C273" s="28"/>
      <c r="D273" s="223" t="s">
        <v>166</v>
      </c>
      <c r="E273" s="198"/>
      <c r="F273" s="198"/>
      <c r="G273" s="199" t="s">
        <v>294</v>
      </c>
      <c r="H273" s="180"/>
      <c r="I273" s="181"/>
      <c r="J273" s="182">
        <f t="shared" si="51"/>
        <v>1415124.39</v>
      </c>
      <c r="K273" s="183">
        <f>SUM(K274:K279)-K277</f>
        <v>1118481.3899999999</v>
      </c>
      <c r="L273" s="183">
        <f>SUM(L274:L279)-L277</f>
        <v>296643</v>
      </c>
      <c r="M273" s="183">
        <f>SUM(M274:M279)-M277</f>
        <v>296643</v>
      </c>
      <c r="N273" s="30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32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32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  <c r="BB273" s="44"/>
      <c r="BC273" s="44"/>
      <c r="BD273" s="44"/>
      <c r="BE273" s="44"/>
      <c r="BF273" s="44"/>
      <c r="BG273" s="196"/>
    </row>
    <row r="274" spans="1:59" s="195" customFormat="1" ht="19.5" customHeight="1" x14ac:dyDescent="0.3">
      <c r="A274" s="154" t="str">
        <f t="shared" si="52"/>
        <v>п</v>
      </c>
      <c r="B274" s="155" t="s">
        <v>13</v>
      </c>
      <c r="C274" s="28"/>
      <c r="D274" s="186" t="s">
        <v>197</v>
      </c>
      <c r="E274" s="186" t="s">
        <v>196</v>
      </c>
      <c r="F274" s="186" t="s">
        <v>27</v>
      </c>
      <c r="G274" s="187" t="s">
        <v>198</v>
      </c>
      <c r="H274" s="284"/>
      <c r="I274" s="219"/>
      <c r="J274" s="190">
        <f t="shared" si="51"/>
        <v>638420.5</v>
      </c>
      <c r="K274" s="191">
        <f>473934+110791+3795.5+49900</f>
        <v>638420.5</v>
      </c>
      <c r="L274" s="205"/>
      <c r="M274" s="205"/>
      <c r="N274" s="30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2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2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196"/>
    </row>
    <row r="275" spans="1:59" s="195" customFormat="1" ht="19.5" customHeight="1" x14ac:dyDescent="0.3">
      <c r="A275" s="154" t="str">
        <f t="shared" si="52"/>
        <v>п</v>
      </c>
      <c r="B275" s="155" t="s">
        <v>13</v>
      </c>
      <c r="C275" s="155"/>
      <c r="D275" s="210" t="s">
        <v>142</v>
      </c>
      <c r="E275" s="186" t="s">
        <v>143</v>
      </c>
      <c r="F275" s="186" t="s">
        <v>104</v>
      </c>
      <c r="G275" s="187" t="s">
        <v>144</v>
      </c>
      <c r="H275" s="218"/>
      <c r="I275" s="219"/>
      <c r="J275" s="191">
        <f t="shared" si="51"/>
        <v>21515</v>
      </c>
      <c r="K275" s="191"/>
      <c r="L275" s="205">
        <v>21515</v>
      </c>
      <c r="M275" s="205">
        <v>21515</v>
      </c>
      <c r="N275" s="382"/>
      <c r="O275" s="432"/>
      <c r="P275" s="432"/>
      <c r="Q275" s="432"/>
      <c r="R275" s="432"/>
      <c r="S275" s="432"/>
      <c r="T275" s="432"/>
      <c r="U275" s="432"/>
      <c r="V275" s="432"/>
      <c r="W275" s="432"/>
      <c r="X275" s="432"/>
      <c r="Y275" s="383"/>
      <c r="Z275" s="432"/>
      <c r="AA275" s="432"/>
      <c r="AB275" s="432"/>
      <c r="AC275" s="432"/>
      <c r="AD275" s="432"/>
      <c r="AE275" s="432"/>
      <c r="AF275" s="432"/>
      <c r="AG275" s="432"/>
      <c r="AH275" s="432"/>
      <c r="AI275" s="432"/>
      <c r="AJ275" s="432"/>
      <c r="AK275" s="383"/>
      <c r="BG275" s="196"/>
    </row>
    <row r="276" spans="1:59" s="195" customFormat="1" ht="39.75" customHeight="1" x14ac:dyDescent="0.3">
      <c r="A276" s="154" t="str">
        <f t="shared" si="52"/>
        <v>п</v>
      </c>
      <c r="B276" s="155" t="s">
        <v>13</v>
      </c>
      <c r="C276" s="28"/>
      <c r="D276" s="186" t="s">
        <v>253</v>
      </c>
      <c r="E276" s="186" t="s">
        <v>254</v>
      </c>
      <c r="F276" s="186" t="s">
        <v>255</v>
      </c>
      <c r="G276" s="187" t="s">
        <v>256</v>
      </c>
      <c r="H276" s="218"/>
      <c r="I276" s="219"/>
      <c r="J276" s="191">
        <f t="shared" si="51"/>
        <v>254771.8899999999</v>
      </c>
      <c r="K276" s="191">
        <f>1400000-1349808.11+100000-50000+90000+49580+15000</f>
        <v>254771.8899999999</v>
      </c>
      <c r="L276" s="205"/>
      <c r="M276" s="205"/>
      <c r="N276" s="30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2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2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196"/>
    </row>
    <row r="277" spans="1:59" s="87" customFormat="1" ht="42" customHeight="1" x14ac:dyDescent="0.3">
      <c r="A277" s="154" t="str">
        <f>IF(J277=0,"","п")</f>
        <v>п</v>
      </c>
      <c r="B277" s="155" t="s">
        <v>13</v>
      </c>
      <c r="C277" s="490"/>
      <c r="D277" s="463"/>
      <c r="E277" s="215"/>
      <c r="F277" s="216"/>
      <c r="G277" s="217" t="s">
        <v>22</v>
      </c>
      <c r="H277" s="284"/>
      <c r="I277" s="125"/>
      <c r="J277" s="220">
        <f>+K277+L277</f>
        <v>140000</v>
      </c>
      <c r="K277" s="221">
        <f>100000-50000+90000</f>
        <v>140000</v>
      </c>
      <c r="L277" s="34"/>
      <c r="M277" s="34"/>
      <c r="N277" s="106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8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  <c r="AJ277" s="85"/>
      <c r="AK277" s="88"/>
      <c r="BG277" s="107"/>
    </row>
    <row r="278" spans="1:59" s="33" customFormat="1" ht="32.25" customHeight="1" x14ac:dyDescent="0.25">
      <c r="A278" s="27" t="str">
        <f>IF(J278=0,"","п")</f>
        <v>п</v>
      </c>
      <c r="B278" s="155" t="s">
        <v>13</v>
      </c>
      <c r="C278" s="28"/>
      <c r="D278" s="186" t="s">
        <v>319</v>
      </c>
      <c r="E278" s="186" t="s">
        <v>320</v>
      </c>
      <c r="F278" s="186" t="s">
        <v>123</v>
      </c>
      <c r="G278" s="187" t="s">
        <v>321</v>
      </c>
      <c r="H278" s="218"/>
      <c r="I278" s="125"/>
      <c r="J278" s="191">
        <f>+K278+L278</f>
        <v>280032</v>
      </c>
      <c r="K278" s="191">
        <v>225289</v>
      </c>
      <c r="L278" s="205">
        <f>280032-225289</f>
        <v>54743</v>
      </c>
      <c r="M278" s="205">
        <f t="shared" ref="M278:BF278" si="53">280032-225289</f>
        <v>54743</v>
      </c>
      <c r="N278" s="205">
        <f t="shared" si="53"/>
        <v>54743</v>
      </c>
      <c r="O278" s="205">
        <f t="shared" si="53"/>
        <v>54743</v>
      </c>
      <c r="P278" s="205">
        <f t="shared" si="53"/>
        <v>54743</v>
      </c>
      <c r="Q278" s="205">
        <f t="shared" si="53"/>
        <v>54743</v>
      </c>
      <c r="R278" s="205">
        <f t="shared" si="53"/>
        <v>54743</v>
      </c>
      <c r="S278" s="205">
        <f t="shared" si="53"/>
        <v>54743</v>
      </c>
      <c r="T278" s="205">
        <f t="shared" si="53"/>
        <v>54743</v>
      </c>
      <c r="U278" s="205">
        <f t="shared" si="53"/>
        <v>54743</v>
      </c>
      <c r="V278" s="205">
        <f t="shared" si="53"/>
        <v>54743</v>
      </c>
      <c r="W278" s="205">
        <f t="shared" si="53"/>
        <v>54743</v>
      </c>
      <c r="X278" s="205">
        <f t="shared" si="53"/>
        <v>54743</v>
      </c>
      <c r="Y278" s="205">
        <f t="shared" si="53"/>
        <v>54743</v>
      </c>
      <c r="Z278" s="205">
        <f t="shared" si="53"/>
        <v>54743</v>
      </c>
      <c r="AA278" s="205">
        <f t="shared" si="53"/>
        <v>54743</v>
      </c>
      <c r="AB278" s="205">
        <f t="shared" si="53"/>
        <v>54743</v>
      </c>
      <c r="AC278" s="205">
        <f t="shared" si="53"/>
        <v>54743</v>
      </c>
      <c r="AD278" s="205">
        <f t="shared" si="53"/>
        <v>54743</v>
      </c>
      <c r="AE278" s="205">
        <f t="shared" si="53"/>
        <v>54743</v>
      </c>
      <c r="AF278" s="205">
        <f t="shared" si="53"/>
        <v>54743</v>
      </c>
      <c r="AG278" s="205">
        <f t="shared" si="53"/>
        <v>54743</v>
      </c>
      <c r="AH278" s="205">
        <f t="shared" si="53"/>
        <v>54743</v>
      </c>
      <c r="AI278" s="205">
        <f t="shared" si="53"/>
        <v>54743</v>
      </c>
      <c r="AJ278" s="205">
        <f t="shared" si="53"/>
        <v>54743</v>
      </c>
      <c r="AK278" s="205">
        <f t="shared" si="53"/>
        <v>54743</v>
      </c>
      <c r="AL278" s="205">
        <f t="shared" si="53"/>
        <v>54743</v>
      </c>
      <c r="AM278" s="205">
        <f t="shared" si="53"/>
        <v>54743</v>
      </c>
      <c r="AN278" s="205">
        <f t="shared" si="53"/>
        <v>54743</v>
      </c>
      <c r="AO278" s="205">
        <f t="shared" si="53"/>
        <v>54743</v>
      </c>
      <c r="AP278" s="205">
        <f t="shared" si="53"/>
        <v>54743</v>
      </c>
      <c r="AQ278" s="205">
        <f t="shared" si="53"/>
        <v>54743</v>
      </c>
      <c r="AR278" s="205">
        <f t="shared" si="53"/>
        <v>54743</v>
      </c>
      <c r="AS278" s="205">
        <f t="shared" si="53"/>
        <v>54743</v>
      </c>
      <c r="AT278" s="205">
        <f t="shared" si="53"/>
        <v>54743</v>
      </c>
      <c r="AU278" s="205">
        <f t="shared" si="53"/>
        <v>54743</v>
      </c>
      <c r="AV278" s="205">
        <f t="shared" si="53"/>
        <v>54743</v>
      </c>
      <c r="AW278" s="205">
        <f t="shared" si="53"/>
        <v>54743</v>
      </c>
      <c r="AX278" s="205">
        <f t="shared" si="53"/>
        <v>54743</v>
      </c>
      <c r="AY278" s="205">
        <f t="shared" si="53"/>
        <v>54743</v>
      </c>
      <c r="AZ278" s="205">
        <f t="shared" si="53"/>
        <v>54743</v>
      </c>
      <c r="BA278" s="205">
        <f t="shared" si="53"/>
        <v>54743</v>
      </c>
      <c r="BB278" s="205">
        <f t="shared" si="53"/>
        <v>54743</v>
      </c>
      <c r="BC278" s="205">
        <f t="shared" si="53"/>
        <v>54743</v>
      </c>
      <c r="BD278" s="205">
        <f t="shared" si="53"/>
        <v>54743</v>
      </c>
      <c r="BE278" s="205">
        <f t="shared" si="53"/>
        <v>54743</v>
      </c>
      <c r="BF278" s="205">
        <f t="shared" si="53"/>
        <v>54743</v>
      </c>
      <c r="BG278" s="107"/>
    </row>
    <row r="279" spans="1:59" s="33" customFormat="1" x14ac:dyDescent="0.25">
      <c r="A279" s="27" t="str">
        <f t="shared" si="52"/>
        <v>п</v>
      </c>
      <c r="B279" s="155" t="s">
        <v>13</v>
      </c>
      <c r="C279" s="28"/>
      <c r="D279" s="210" t="s">
        <v>327</v>
      </c>
      <c r="E279" s="186" t="s">
        <v>140</v>
      </c>
      <c r="F279" s="186" t="s">
        <v>154</v>
      </c>
      <c r="G279" s="213" t="s">
        <v>141</v>
      </c>
      <c r="H279" s="218"/>
      <c r="I279" s="125"/>
      <c r="J279" s="191">
        <f t="shared" ref="J279:J307" si="54">+K279+L279</f>
        <v>220385</v>
      </c>
      <c r="K279" s="191"/>
      <c r="L279" s="205">
        <v>220385</v>
      </c>
      <c r="M279" s="205">
        <v>220385</v>
      </c>
      <c r="N279" s="30">
        <f>SUM(O279:W279)</f>
        <v>0</v>
      </c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2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2">
        <f>Y279+N279</f>
        <v>0</v>
      </c>
      <c r="BG279" s="107"/>
    </row>
    <row r="280" spans="1:59" s="197" customFormat="1" ht="58.5" x14ac:dyDescent="0.3">
      <c r="A280" s="154" t="str">
        <f t="shared" si="52"/>
        <v>п</v>
      </c>
      <c r="B280" s="155" t="s">
        <v>181</v>
      </c>
      <c r="C280" s="28"/>
      <c r="D280" s="223" t="s">
        <v>62</v>
      </c>
      <c r="E280" s="198"/>
      <c r="F280" s="198"/>
      <c r="G280" s="199" t="s">
        <v>9</v>
      </c>
      <c r="H280" s="180"/>
      <c r="I280" s="181"/>
      <c r="J280" s="182">
        <f t="shared" si="54"/>
        <v>76403399.75</v>
      </c>
      <c r="K280" s="183">
        <f>K281</f>
        <v>7950884</v>
      </c>
      <c r="L280" s="183">
        <f>L281</f>
        <v>68452515.75</v>
      </c>
      <c r="M280" s="183">
        <f>M281</f>
        <v>68452515.75</v>
      </c>
      <c r="N280" s="50">
        <f>SUM(O280:W280)</f>
        <v>0</v>
      </c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51"/>
      <c r="Z280" s="61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  <c r="AK280" s="51">
        <f>Y280+N280</f>
        <v>0</v>
      </c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  <c r="BD280" s="44"/>
      <c r="BE280" s="44"/>
      <c r="BF280" s="44"/>
      <c r="BG280" s="196"/>
    </row>
    <row r="281" spans="1:59" s="197" customFormat="1" ht="58.5" x14ac:dyDescent="0.3">
      <c r="A281" s="154" t="str">
        <f t="shared" si="52"/>
        <v>п</v>
      </c>
      <c r="B281" s="155" t="s">
        <v>181</v>
      </c>
      <c r="C281" s="28"/>
      <c r="D281" s="223" t="s">
        <v>63</v>
      </c>
      <c r="E281" s="198"/>
      <c r="F281" s="198"/>
      <c r="G281" s="199" t="s">
        <v>9</v>
      </c>
      <c r="H281" s="200"/>
      <c r="I281" s="201"/>
      <c r="J281" s="202">
        <f t="shared" si="54"/>
        <v>76403399.75</v>
      </c>
      <c r="K281" s="183">
        <f>SUM(K282:K305)-K302-K304-K300</f>
        <v>7950884</v>
      </c>
      <c r="L281" s="183">
        <f>SUM(L282:L305)-L302-L304-L300</f>
        <v>68452515.75</v>
      </c>
      <c r="M281" s="183">
        <f>SUM(M282:M305)-M302-M304-M300</f>
        <v>68452515.75</v>
      </c>
      <c r="N281" s="50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51"/>
      <c r="Z281" s="61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  <c r="AK281" s="51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  <c r="BB281" s="44"/>
      <c r="BC281" s="44"/>
      <c r="BD281" s="44"/>
      <c r="BE281" s="44"/>
      <c r="BF281" s="44"/>
      <c r="BG281" s="196"/>
    </row>
    <row r="282" spans="1:59" s="33" customFormat="1" ht="60.75" hidden="1" customHeight="1" x14ac:dyDescent="0.25">
      <c r="A282" s="27" t="str">
        <f t="shared" si="52"/>
        <v/>
      </c>
      <c r="B282" s="28" t="s">
        <v>181</v>
      </c>
      <c r="C282" s="102"/>
      <c r="D282" s="277" t="s">
        <v>91</v>
      </c>
      <c r="E282" s="277" t="s">
        <v>92</v>
      </c>
      <c r="F282" s="186" t="s">
        <v>93</v>
      </c>
      <c r="G282" s="390" t="s">
        <v>94</v>
      </c>
      <c r="H282" s="263"/>
      <c r="I282" s="123"/>
      <c r="J282" s="136">
        <f t="shared" si="54"/>
        <v>0</v>
      </c>
      <c r="K282" s="49"/>
      <c r="L282" s="49"/>
      <c r="M282" s="49"/>
      <c r="N282" s="68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53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  <c r="AK282" s="53"/>
      <c r="BG282" s="107"/>
    </row>
    <row r="283" spans="1:59" s="33" customFormat="1" ht="27" hidden="1" customHeight="1" x14ac:dyDescent="0.25">
      <c r="A283" s="27" t="str">
        <f t="shared" si="52"/>
        <v/>
      </c>
      <c r="B283" s="28" t="s">
        <v>181</v>
      </c>
      <c r="C283" s="28"/>
      <c r="D283" s="186" t="s">
        <v>80</v>
      </c>
      <c r="E283" s="186" t="s">
        <v>169</v>
      </c>
      <c r="F283" s="186" t="s">
        <v>157</v>
      </c>
      <c r="G283" s="187" t="s">
        <v>58</v>
      </c>
      <c r="H283" s="188"/>
      <c r="I283" s="111"/>
      <c r="J283" s="129">
        <f t="shared" si="54"/>
        <v>0</v>
      </c>
      <c r="K283" s="37"/>
      <c r="L283" s="35"/>
      <c r="M283" s="35"/>
      <c r="N283" s="30">
        <f>SUM(O283:W283)</f>
        <v>0</v>
      </c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2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2">
        <f>Y283+N283</f>
        <v>0</v>
      </c>
      <c r="BG283" s="107"/>
    </row>
    <row r="284" spans="1:59" s="33" customFormat="1" ht="43.5" hidden="1" customHeight="1" x14ac:dyDescent="0.25">
      <c r="A284" s="27" t="str">
        <f t="shared" si="52"/>
        <v/>
      </c>
      <c r="B284" s="28" t="s">
        <v>181</v>
      </c>
      <c r="C284" s="28"/>
      <c r="D284" s="210" t="s">
        <v>283</v>
      </c>
      <c r="E284" s="185" t="s">
        <v>275</v>
      </c>
      <c r="F284" s="186" t="s">
        <v>158</v>
      </c>
      <c r="G284" s="187" t="s">
        <v>276</v>
      </c>
      <c r="H284" s="188" t="s">
        <v>148</v>
      </c>
      <c r="I284" s="111"/>
      <c r="J284" s="129">
        <f t="shared" si="54"/>
        <v>0</v>
      </c>
      <c r="K284" s="37"/>
      <c r="L284" s="35"/>
      <c r="M284" s="35"/>
      <c r="N284" s="30">
        <f>SUM(O284:W284)</f>
        <v>0</v>
      </c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2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2">
        <f>Y284+N284</f>
        <v>0</v>
      </c>
      <c r="BG284" s="107"/>
    </row>
    <row r="285" spans="1:59" s="33" customFormat="1" ht="39.75" hidden="1" customHeight="1" x14ac:dyDescent="0.25">
      <c r="A285" s="27" t="str">
        <f t="shared" si="52"/>
        <v/>
      </c>
      <c r="B285" s="28" t="s">
        <v>181</v>
      </c>
      <c r="C285" s="105"/>
      <c r="D285" s="186" t="s">
        <v>81</v>
      </c>
      <c r="E285" s="186" t="s">
        <v>172</v>
      </c>
      <c r="F285" s="210" t="s">
        <v>161</v>
      </c>
      <c r="G285" s="390" t="s">
        <v>170</v>
      </c>
      <c r="H285" s="263"/>
      <c r="I285" s="123"/>
      <c r="J285" s="136">
        <f t="shared" si="54"/>
        <v>0</v>
      </c>
      <c r="K285" s="49"/>
      <c r="L285" s="49"/>
      <c r="M285" s="49"/>
      <c r="N285" s="67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9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9"/>
      <c r="BG285" s="107"/>
    </row>
    <row r="286" spans="1:59" s="33" customFormat="1" ht="38.25" hidden="1" customHeight="1" x14ac:dyDescent="0.25">
      <c r="A286" s="27" t="str">
        <f t="shared" si="52"/>
        <v/>
      </c>
      <c r="B286" s="28" t="s">
        <v>181</v>
      </c>
      <c r="C286" s="105"/>
      <c r="D286" s="210">
        <v>1212111</v>
      </c>
      <c r="E286" s="185" t="s">
        <v>42</v>
      </c>
      <c r="F286" s="186" t="s">
        <v>87</v>
      </c>
      <c r="G286" s="187" t="s">
        <v>43</v>
      </c>
      <c r="H286" s="273"/>
      <c r="I286" s="123"/>
      <c r="J286" s="49">
        <f t="shared" si="54"/>
        <v>0</v>
      </c>
      <c r="K286" s="49"/>
      <c r="L286" s="49"/>
      <c r="M286" s="49"/>
      <c r="N286" s="67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9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9"/>
      <c r="BG286" s="107"/>
    </row>
    <row r="287" spans="1:59" s="33" customFormat="1" hidden="1" x14ac:dyDescent="0.25">
      <c r="A287" s="27" t="str">
        <f t="shared" si="52"/>
        <v/>
      </c>
      <c r="B287" s="28" t="s">
        <v>181</v>
      </c>
      <c r="C287" s="103"/>
      <c r="D287" s="210"/>
      <c r="E287" s="186"/>
      <c r="F287" s="186"/>
      <c r="G287" s="187"/>
      <c r="H287" s="214"/>
      <c r="I287" s="111"/>
      <c r="J287" s="37">
        <f t="shared" si="54"/>
        <v>0</v>
      </c>
      <c r="K287" s="37"/>
      <c r="L287" s="37">
        <f>300000-300000</f>
        <v>0</v>
      </c>
      <c r="M287" s="37">
        <f>300000-300000</f>
        <v>0</v>
      </c>
      <c r="N287" s="30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2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2"/>
      <c r="BG287" s="107"/>
    </row>
    <row r="288" spans="1:59" s="33" customFormat="1" ht="19.5" hidden="1" customHeight="1" x14ac:dyDescent="0.25">
      <c r="A288" s="27" t="str">
        <f t="shared" si="52"/>
        <v/>
      </c>
      <c r="B288" s="28" t="s">
        <v>181</v>
      </c>
      <c r="C288" s="28"/>
      <c r="D288" s="186"/>
      <c r="E288" s="214"/>
      <c r="F288" s="186"/>
      <c r="G288" s="187"/>
      <c r="H288" s="273"/>
      <c r="I288" s="123"/>
      <c r="J288" s="49">
        <f t="shared" si="54"/>
        <v>0</v>
      </c>
      <c r="K288" s="49"/>
      <c r="L288" s="49">
        <f>1000000-1000000</f>
        <v>0</v>
      </c>
      <c r="M288" s="49">
        <f>1000000-1000000</f>
        <v>0</v>
      </c>
      <c r="N288" s="50"/>
      <c r="O288" s="52"/>
      <c r="P288" s="53"/>
      <c r="Q288" s="53"/>
      <c r="R288" s="53"/>
      <c r="S288" s="53"/>
      <c r="T288" s="53"/>
      <c r="U288" s="53"/>
      <c r="V288" s="53"/>
      <c r="W288" s="53"/>
      <c r="X288" s="53"/>
      <c r="Y288" s="51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1"/>
      <c r="BG288" s="107"/>
    </row>
    <row r="289" spans="1:59" s="33" customFormat="1" ht="37.5" hidden="1" customHeight="1" x14ac:dyDescent="0.25">
      <c r="A289" s="27" t="str">
        <f t="shared" si="52"/>
        <v/>
      </c>
      <c r="B289" s="28" t="s">
        <v>181</v>
      </c>
      <c r="C289" s="28"/>
      <c r="D289" s="186"/>
      <c r="E289" s="273"/>
      <c r="F289" s="277"/>
      <c r="G289" s="390"/>
      <c r="H289" s="375"/>
      <c r="I289" s="126"/>
      <c r="J289" s="49">
        <f t="shared" si="54"/>
        <v>0</v>
      </c>
      <c r="K289" s="49">
        <f>2398131-2398131</f>
        <v>0</v>
      </c>
      <c r="L289" s="49"/>
      <c r="M289" s="49"/>
      <c r="N289" s="50">
        <f>SUM(O289:W289)</f>
        <v>0</v>
      </c>
      <c r="O289" s="52"/>
      <c r="P289" s="53"/>
      <c r="Q289" s="53"/>
      <c r="R289" s="53"/>
      <c r="S289" s="53"/>
      <c r="T289" s="53"/>
      <c r="U289" s="53"/>
      <c r="V289" s="53"/>
      <c r="W289" s="53"/>
      <c r="X289" s="53"/>
      <c r="Y289" s="51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1">
        <f>Y289+N289</f>
        <v>0</v>
      </c>
      <c r="BG289" s="107"/>
    </row>
    <row r="290" spans="1:59" s="33" customFormat="1" ht="39.75" customHeight="1" x14ac:dyDescent="0.25">
      <c r="A290" s="27" t="str">
        <f t="shared" si="52"/>
        <v>п</v>
      </c>
      <c r="B290" s="155" t="s">
        <v>181</v>
      </c>
      <c r="C290" s="102"/>
      <c r="D290" s="210">
        <v>1216017</v>
      </c>
      <c r="E290" s="185">
        <v>6017</v>
      </c>
      <c r="F290" s="186" t="s">
        <v>151</v>
      </c>
      <c r="G290" s="187" t="s">
        <v>132</v>
      </c>
      <c r="H290" s="273"/>
      <c r="I290" s="264"/>
      <c r="J290" s="266">
        <f t="shared" si="54"/>
        <v>240000</v>
      </c>
      <c r="K290" s="266">
        <v>240000</v>
      </c>
      <c r="L290" s="266"/>
      <c r="M290" s="266"/>
      <c r="N290" s="68"/>
      <c r="O290" s="52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BG290" s="107"/>
    </row>
    <row r="291" spans="1:59" s="33" customFormat="1" ht="52.5" hidden="1" customHeight="1" x14ac:dyDescent="0.25">
      <c r="A291" s="27" t="str">
        <f t="shared" si="52"/>
        <v/>
      </c>
      <c r="B291" s="28" t="s">
        <v>181</v>
      </c>
      <c r="C291" s="28"/>
      <c r="D291" s="277" t="s">
        <v>70</v>
      </c>
      <c r="E291" s="273" t="s">
        <v>71</v>
      </c>
      <c r="F291" s="186" t="s">
        <v>151</v>
      </c>
      <c r="G291" s="187" t="s">
        <v>72</v>
      </c>
      <c r="H291" s="263"/>
      <c r="I291" s="264"/>
      <c r="J291" s="265">
        <f t="shared" si="54"/>
        <v>0</v>
      </c>
      <c r="K291" s="266">
        <f>15000-15000</f>
        <v>0</v>
      </c>
      <c r="L291" s="266">
        <f>1450000-1450000</f>
        <v>0</v>
      </c>
      <c r="M291" s="266">
        <f>1450000-1450000</f>
        <v>0</v>
      </c>
      <c r="N291" s="50">
        <f>SUM(O291:W291)</f>
        <v>0</v>
      </c>
      <c r="O291" s="52"/>
      <c r="P291" s="53"/>
      <c r="Q291" s="53"/>
      <c r="R291" s="53"/>
      <c r="S291" s="53"/>
      <c r="T291" s="53"/>
      <c r="U291" s="53"/>
      <c r="V291" s="53"/>
      <c r="W291" s="53"/>
      <c r="X291" s="53"/>
      <c r="Y291" s="51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1">
        <f>Y291+N291</f>
        <v>0</v>
      </c>
      <c r="BG291" s="107"/>
    </row>
    <row r="292" spans="1:59" s="33" customFormat="1" ht="39.75" customHeight="1" x14ac:dyDescent="0.25">
      <c r="A292" s="27" t="str">
        <f t="shared" si="52"/>
        <v>п</v>
      </c>
      <c r="B292" s="155" t="s">
        <v>181</v>
      </c>
      <c r="C292" s="28"/>
      <c r="D292" s="186" t="s">
        <v>222</v>
      </c>
      <c r="E292" s="214" t="s">
        <v>223</v>
      </c>
      <c r="F292" s="186" t="s">
        <v>211</v>
      </c>
      <c r="G292" s="187" t="s">
        <v>224</v>
      </c>
      <c r="H292" s="188"/>
      <c r="I292" s="189"/>
      <c r="J292" s="190">
        <f t="shared" si="54"/>
        <v>413900</v>
      </c>
      <c r="K292" s="191">
        <v>364000</v>
      </c>
      <c r="L292" s="191">
        <v>49900</v>
      </c>
      <c r="M292" s="191">
        <v>49900</v>
      </c>
      <c r="N292" s="50"/>
      <c r="O292" s="52"/>
      <c r="P292" s="53"/>
      <c r="Q292" s="53"/>
      <c r="R292" s="53"/>
      <c r="S292" s="53"/>
      <c r="T292" s="53"/>
      <c r="U292" s="53"/>
      <c r="V292" s="53"/>
      <c r="W292" s="53"/>
      <c r="X292" s="53"/>
      <c r="Y292" s="51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1"/>
      <c r="BG292" s="107"/>
    </row>
    <row r="293" spans="1:59" s="33" customFormat="1" ht="39.75" hidden="1" customHeight="1" x14ac:dyDescent="0.25">
      <c r="A293" s="27" t="str">
        <f>IF(J293=0,"","п")</f>
        <v/>
      </c>
      <c r="B293" s="28" t="s">
        <v>181</v>
      </c>
      <c r="C293" s="28"/>
      <c r="D293" s="186" t="s">
        <v>64</v>
      </c>
      <c r="E293" s="214" t="s">
        <v>65</v>
      </c>
      <c r="F293" s="186" t="s">
        <v>151</v>
      </c>
      <c r="G293" s="187" t="s">
        <v>66</v>
      </c>
      <c r="H293" s="188"/>
      <c r="I293" s="189"/>
      <c r="J293" s="190">
        <f t="shared" si="54"/>
        <v>0</v>
      </c>
      <c r="K293" s="191"/>
      <c r="L293" s="191"/>
      <c r="M293" s="191"/>
      <c r="N293" s="50"/>
      <c r="O293" s="52"/>
      <c r="P293" s="53"/>
      <c r="Q293" s="53"/>
      <c r="R293" s="53"/>
      <c r="S293" s="53"/>
      <c r="T293" s="53"/>
      <c r="U293" s="53"/>
      <c r="V293" s="53"/>
      <c r="W293" s="53"/>
      <c r="X293" s="53"/>
      <c r="Y293" s="51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1"/>
      <c r="BG293" s="107"/>
    </row>
    <row r="294" spans="1:59" s="195" customFormat="1" ht="22.5" customHeight="1" x14ac:dyDescent="0.3">
      <c r="A294" s="154" t="str">
        <f t="shared" ref="A294" si="55">IF(J294=0,"","п")</f>
        <v>п</v>
      </c>
      <c r="B294" s="155" t="s">
        <v>181</v>
      </c>
      <c r="C294" s="103"/>
      <c r="D294" s="210" t="s">
        <v>333</v>
      </c>
      <c r="E294" s="185" t="s">
        <v>107</v>
      </c>
      <c r="F294" s="186" t="s">
        <v>108</v>
      </c>
      <c r="G294" s="187" t="s">
        <v>109</v>
      </c>
      <c r="H294" s="214"/>
      <c r="I294" s="189"/>
      <c r="J294" s="191">
        <f>+K294+L294</f>
        <v>49433</v>
      </c>
      <c r="K294" s="191">
        <v>49433</v>
      </c>
      <c r="L294" s="191">
        <f>1800000-1800000</f>
        <v>0</v>
      </c>
      <c r="M294" s="191">
        <f>1800000-1800000</f>
        <v>0</v>
      </c>
      <c r="N294" s="30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2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2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196"/>
    </row>
    <row r="295" spans="1:59" s="195" customFormat="1" ht="37.5" x14ac:dyDescent="0.3">
      <c r="A295" s="154" t="str">
        <f t="shared" si="52"/>
        <v>п</v>
      </c>
      <c r="B295" s="155" t="s">
        <v>181</v>
      </c>
      <c r="C295" s="28"/>
      <c r="D295" s="277" t="s">
        <v>82</v>
      </c>
      <c r="E295" s="273" t="s">
        <v>83</v>
      </c>
      <c r="F295" s="186" t="s">
        <v>154</v>
      </c>
      <c r="G295" s="274" t="s">
        <v>84</v>
      </c>
      <c r="H295" s="263"/>
      <c r="I295" s="264"/>
      <c r="J295" s="265">
        <f>+K295+L295</f>
        <v>44420</v>
      </c>
      <c r="K295" s="266"/>
      <c r="L295" s="266">
        <f>8597000-644900-54183.96-2046126.25+300000-48500-181992-766297.79-4835500+24920-300000</f>
        <v>44420</v>
      </c>
      <c r="M295" s="266">
        <f>8597000-644900-54183.96-2046126.25+300000-48500-181992-766297.79-4835500+24920-300000</f>
        <v>44420</v>
      </c>
      <c r="N295" s="50">
        <f>SUM(O295:W295)</f>
        <v>0</v>
      </c>
      <c r="O295" s="52"/>
      <c r="P295" s="53"/>
      <c r="Q295" s="53"/>
      <c r="R295" s="53"/>
      <c r="S295" s="53"/>
      <c r="T295" s="53"/>
      <c r="U295" s="53"/>
      <c r="V295" s="53"/>
      <c r="W295" s="53"/>
      <c r="X295" s="53"/>
      <c r="Y295" s="51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1">
        <f>Y295+N295</f>
        <v>0</v>
      </c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196"/>
    </row>
    <row r="296" spans="1:59" s="195" customFormat="1" x14ac:dyDescent="0.3">
      <c r="A296" s="154" t="str">
        <f t="shared" si="52"/>
        <v>п</v>
      </c>
      <c r="B296" s="155" t="s">
        <v>181</v>
      </c>
      <c r="C296" s="28"/>
      <c r="D296" s="277" t="s">
        <v>183</v>
      </c>
      <c r="E296" s="273" t="s">
        <v>184</v>
      </c>
      <c r="F296" s="277" t="s">
        <v>154</v>
      </c>
      <c r="G296" s="285" t="s">
        <v>185</v>
      </c>
      <c r="H296" s="273"/>
      <c r="I296" s="264"/>
      <c r="J296" s="265">
        <f t="shared" si="54"/>
        <v>438236.00000000093</v>
      </c>
      <c r="K296" s="266"/>
      <c r="L296" s="266">
        <f>11048000-569976.19-149254-2764-4004478.8-1833151-215460-42400-155291.01-3636989</f>
        <v>438236.00000000093</v>
      </c>
      <c r="M296" s="266">
        <f>11048000-569976.19-149254-2764-4004478.8-1833151-215460-42400-155291.01-3636989</f>
        <v>438236.00000000093</v>
      </c>
      <c r="N296" s="50"/>
      <c r="O296" s="52"/>
      <c r="P296" s="53"/>
      <c r="Q296" s="53"/>
      <c r="R296" s="53"/>
      <c r="S296" s="53"/>
      <c r="T296" s="53"/>
      <c r="U296" s="53"/>
      <c r="V296" s="53"/>
      <c r="W296" s="53"/>
      <c r="X296" s="53"/>
      <c r="Y296" s="51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1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196"/>
    </row>
    <row r="297" spans="1:59" s="33" customFormat="1" ht="24" hidden="1" customHeight="1" x14ac:dyDescent="0.25">
      <c r="A297" s="27" t="str">
        <f t="shared" si="52"/>
        <v/>
      </c>
      <c r="B297" s="28" t="s">
        <v>181</v>
      </c>
      <c r="C297" s="28"/>
      <c r="D297" s="277">
        <v>1217322</v>
      </c>
      <c r="E297" s="273">
        <v>7322</v>
      </c>
      <c r="F297" s="277" t="s">
        <v>154</v>
      </c>
      <c r="G297" s="285" t="s">
        <v>90</v>
      </c>
      <c r="H297" s="263"/>
      <c r="I297" s="264"/>
      <c r="J297" s="265">
        <f t="shared" si="54"/>
        <v>0</v>
      </c>
      <c r="K297" s="266"/>
      <c r="L297" s="431"/>
      <c r="M297" s="431"/>
      <c r="N297" s="50">
        <f>SUM(O297:W297)</f>
        <v>0</v>
      </c>
      <c r="O297" s="52"/>
      <c r="P297" s="53"/>
      <c r="Q297" s="53"/>
      <c r="R297" s="53"/>
      <c r="S297" s="53"/>
      <c r="T297" s="53"/>
      <c r="U297" s="53"/>
      <c r="V297" s="53"/>
      <c r="W297" s="53"/>
      <c r="X297" s="53"/>
      <c r="Y297" s="51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1">
        <f>Y297+N297</f>
        <v>0</v>
      </c>
      <c r="BG297" s="107"/>
    </row>
    <row r="298" spans="1:59" s="33" customFormat="1" ht="37.5" x14ac:dyDescent="0.25">
      <c r="A298" s="27" t="str">
        <f>IF(J298=0,"","п")</f>
        <v>п</v>
      </c>
      <c r="B298" s="155" t="s">
        <v>181</v>
      </c>
      <c r="C298" s="28"/>
      <c r="D298" s="277" t="s">
        <v>330</v>
      </c>
      <c r="E298" s="273">
        <v>7325</v>
      </c>
      <c r="F298" s="277" t="s">
        <v>154</v>
      </c>
      <c r="G298" s="285" t="s">
        <v>331</v>
      </c>
      <c r="H298" s="263"/>
      <c r="I298" s="264"/>
      <c r="J298" s="265">
        <f t="shared" si="54"/>
        <v>46000</v>
      </c>
      <c r="K298" s="266"/>
      <c r="L298" s="431">
        <v>46000</v>
      </c>
      <c r="M298" s="431">
        <v>46000</v>
      </c>
      <c r="N298" s="50">
        <f>SUM(O298:W298)</f>
        <v>0</v>
      </c>
      <c r="O298" s="52"/>
      <c r="P298" s="53"/>
      <c r="Q298" s="53"/>
      <c r="R298" s="53"/>
      <c r="S298" s="53"/>
      <c r="T298" s="53"/>
      <c r="U298" s="53"/>
      <c r="V298" s="53"/>
      <c r="W298" s="53"/>
      <c r="X298" s="53"/>
      <c r="Y298" s="51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1">
        <f>Y298+N298</f>
        <v>0</v>
      </c>
      <c r="BG298" s="107"/>
    </row>
    <row r="299" spans="1:59" s="233" customFormat="1" ht="28.5" customHeight="1" x14ac:dyDescent="0.3">
      <c r="A299" s="154" t="str">
        <f t="shared" si="52"/>
        <v>п</v>
      </c>
      <c r="B299" s="212" t="s">
        <v>181</v>
      </c>
      <c r="C299" s="101"/>
      <c r="D299" s="277">
        <v>1217330</v>
      </c>
      <c r="E299" s="273">
        <v>7330</v>
      </c>
      <c r="F299" s="277" t="s">
        <v>154</v>
      </c>
      <c r="G299" s="285" t="s">
        <v>250</v>
      </c>
      <c r="H299" s="263"/>
      <c r="I299" s="264"/>
      <c r="J299" s="265">
        <f t="shared" si="54"/>
        <v>4057963</v>
      </c>
      <c r="K299" s="266"/>
      <c r="L299" s="266">
        <f>1450000+1450000+750000+48500-1450000+1450000+1000000+109463-750000</f>
        <v>4057963</v>
      </c>
      <c r="M299" s="266">
        <f>1450000+1450000+750000+48500-1450000+1450000+1000000+109463-750000</f>
        <v>4057963</v>
      </c>
      <c r="N299" s="95"/>
      <c r="O299" s="96"/>
      <c r="P299" s="97"/>
      <c r="Q299" s="97"/>
      <c r="R299" s="97"/>
      <c r="S299" s="97"/>
      <c r="T299" s="97"/>
      <c r="U299" s="97"/>
      <c r="V299" s="97"/>
      <c r="W299" s="97"/>
      <c r="X299" s="97"/>
      <c r="Y299" s="98"/>
      <c r="Z299" s="97"/>
      <c r="AA299" s="97"/>
      <c r="AB299" s="97"/>
      <c r="AC299" s="97"/>
      <c r="AD299" s="97"/>
      <c r="AE299" s="97"/>
      <c r="AF299" s="97"/>
      <c r="AG299" s="97"/>
      <c r="AH299" s="97"/>
      <c r="AI299" s="97"/>
      <c r="AJ299" s="97"/>
      <c r="AK299" s="98"/>
      <c r="AL299" s="87"/>
      <c r="AM299" s="87"/>
      <c r="AN299" s="87"/>
      <c r="AO299" s="87"/>
      <c r="AP299" s="87"/>
      <c r="AQ299" s="87"/>
      <c r="AR299" s="87"/>
      <c r="AS299" s="87"/>
      <c r="AT299" s="87"/>
      <c r="AU299" s="87"/>
      <c r="AV299" s="87"/>
      <c r="AW299" s="87"/>
      <c r="AX299" s="87"/>
      <c r="AY299" s="87"/>
      <c r="AZ299" s="87"/>
      <c r="BA299" s="87"/>
      <c r="BB299" s="87"/>
      <c r="BC299" s="87"/>
      <c r="BD299" s="87"/>
      <c r="BE299" s="87"/>
      <c r="BF299" s="87"/>
      <c r="BG299" s="196"/>
    </row>
    <row r="300" spans="1:59" s="195" customFormat="1" ht="42.75" customHeight="1" x14ac:dyDescent="0.3">
      <c r="A300" s="154" t="str">
        <f>IF(J300=0,"","п")</f>
        <v>п</v>
      </c>
      <c r="B300" s="155" t="s">
        <v>181</v>
      </c>
      <c r="C300" s="28"/>
      <c r="D300" s="287"/>
      <c r="E300" s="286"/>
      <c r="F300" s="287"/>
      <c r="G300" s="217" t="s">
        <v>145</v>
      </c>
      <c r="H300" s="288"/>
      <c r="I300" s="289"/>
      <c r="J300" s="290">
        <f t="shared" si="54"/>
        <v>2450000</v>
      </c>
      <c r="K300" s="291"/>
      <c r="L300" s="291">
        <f>1450000+1000000</f>
        <v>2450000</v>
      </c>
      <c r="M300" s="291">
        <f>1450000+1000000</f>
        <v>2450000</v>
      </c>
      <c r="N300" s="50"/>
      <c r="O300" s="52"/>
      <c r="P300" s="53"/>
      <c r="Q300" s="53"/>
      <c r="R300" s="53"/>
      <c r="S300" s="53"/>
      <c r="T300" s="53"/>
      <c r="U300" s="53"/>
      <c r="V300" s="53"/>
      <c r="W300" s="53"/>
      <c r="X300" s="53"/>
      <c r="Y300" s="51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1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196"/>
    </row>
    <row r="301" spans="1:59" s="33" customFormat="1" ht="61.5" hidden="1" customHeight="1" x14ac:dyDescent="0.3">
      <c r="A301" s="27" t="str">
        <f t="shared" si="52"/>
        <v/>
      </c>
      <c r="B301" s="28" t="s">
        <v>181</v>
      </c>
      <c r="C301" s="28"/>
      <c r="D301" s="277" t="s">
        <v>95</v>
      </c>
      <c r="E301" s="273" t="s">
        <v>96</v>
      </c>
      <c r="F301" s="277" t="s">
        <v>153</v>
      </c>
      <c r="G301" s="390"/>
      <c r="H301" s="195"/>
      <c r="I301" s="100"/>
      <c r="J301" s="136">
        <f t="shared" si="54"/>
        <v>0</v>
      </c>
      <c r="K301" s="81"/>
      <c r="L301" s="49"/>
      <c r="M301" s="49"/>
      <c r="N301" s="50"/>
      <c r="O301" s="52"/>
      <c r="P301" s="53"/>
      <c r="Q301" s="53"/>
      <c r="R301" s="53"/>
      <c r="S301" s="53"/>
      <c r="T301" s="53"/>
      <c r="U301" s="53"/>
      <c r="V301" s="53"/>
      <c r="W301" s="53"/>
      <c r="X301" s="53"/>
      <c r="Y301" s="51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1"/>
      <c r="BG301" s="107"/>
    </row>
    <row r="302" spans="1:59" s="33" customFormat="1" ht="41.25" hidden="1" customHeight="1" x14ac:dyDescent="0.3">
      <c r="A302" s="27" t="str">
        <f t="shared" si="52"/>
        <v/>
      </c>
      <c r="B302" s="28" t="s">
        <v>181</v>
      </c>
      <c r="C302" s="28"/>
      <c r="D302" s="287"/>
      <c r="E302" s="286"/>
      <c r="F302" s="287"/>
      <c r="G302" s="217" t="s">
        <v>217</v>
      </c>
      <c r="H302" s="288"/>
      <c r="I302" s="122"/>
      <c r="J302" s="136">
        <f t="shared" si="54"/>
        <v>0</v>
      </c>
      <c r="K302" s="83"/>
      <c r="L302" s="83"/>
      <c r="M302" s="83"/>
      <c r="N302" s="50"/>
      <c r="O302" s="52"/>
      <c r="P302" s="53"/>
      <c r="Q302" s="53"/>
      <c r="R302" s="53"/>
      <c r="S302" s="53"/>
      <c r="T302" s="53"/>
      <c r="U302" s="53"/>
      <c r="V302" s="53"/>
      <c r="W302" s="53"/>
      <c r="X302" s="53"/>
      <c r="Y302" s="51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1"/>
      <c r="BG302" s="107"/>
    </row>
    <row r="303" spans="1:59" s="33" customFormat="1" ht="38.25" hidden="1" customHeight="1" x14ac:dyDescent="0.25">
      <c r="A303" s="27" t="str">
        <f t="shared" si="52"/>
        <v/>
      </c>
      <c r="B303" s="28" t="s">
        <v>181</v>
      </c>
      <c r="C303" s="28"/>
      <c r="D303" s="277">
        <v>1217366</v>
      </c>
      <c r="E303" s="273">
        <v>7366</v>
      </c>
      <c r="F303" s="277" t="s">
        <v>153</v>
      </c>
      <c r="G303" s="390" t="s">
        <v>105</v>
      </c>
      <c r="H303" s="263"/>
      <c r="I303" s="123"/>
      <c r="J303" s="136">
        <f t="shared" si="54"/>
        <v>0</v>
      </c>
      <c r="K303" s="49"/>
      <c r="L303" s="49">
        <f>400000+4316635+863327-5179962-400000</f>
        <v>0</v>
      </c>
      <c r="M303" s="49">
        <f>400000+4316635+863327-5179962-400000</f>
        <v>0</v>
      </c>
      <c r="N303" s="50"/>
      <c r="O303" s="52"/>
      <c r="P303" s="53"/>
      <c r="Q303" s="53"/>
      <c r="R303" s="53"/>
      <c r="S303" s="53"/>
      <c r="T303" s="53"/>
      <c r="U303" s="53"/>
      <c r="V303" s="53"/>
      <c r="W303" s="53"/>
      <c r="X303" s="53"/>
      <c r="Y303" s="51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1"/>
      <c r="BG303" s="107"/>
    </row>
    <row r="304" spans="1:59" s="33" customFormat="1" ht="41.25" hidden="1" customHeight="1" x14ac:dyDescent="0.3">
      <c r="A304" s="27" t="str">
        <f t="shared" si="52"/>
        <v/>
      </c>
      <c r="B304" s="28" t="s">
        <v>181</v>
      </c>
      <c r="C304" s="28"/>
      <c r="D304" s="287"/>
      <c r="E304" s="286"/>
      <c r="F304" s="287"/>
      <c r="G304" s="217" t="s">
        <v>217</v>
      </c>
      <c r="H304" s="288"/>
      <c r="I304" s="122"/>
      <c r="J304" s="135">
        <f t="shared" si="54"/>
        <v>0</v>
      </c>
      <c r="K304" s="83"/>
      <c r="L304" s="83">
        <f>4316635+863327-5179962</f>
        <v>0</v>
      </c>
      <c r="M304" s="83">
        <f>4316635+863327-5179962</f>
        <v>0</v>
      </c>
      <c r="N304" s="50"/>
      <c r="O304" s="52"/>
      <c r="P304" s="53"/>
      <c r="Q304" s="53"/>
      <c r="R304" s="53"/>
      <c r="S304" s="53"/>
      <c r="T304" s="53"/>
      <c r="U304" s="53"/>
      <c r="V304" s="53"/>
      <c r="W304" s="53"/>
      <c r="X304" s="53"/>
      <c r="Y304" s="51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1"/>
      <c r="BG304" s="107"/>
    </row>
    <row r="305" spans="1:60" s="195" customFormat="1" ht="54.75" customHeight="1" x14ac:dyDescent="0.3">
      <c r="A305" s="154" t="str">
        <f t="shared" si="52"/>
        <v>п</v>
      </c>
      <c r="B305" s="155" t="s">
        <v>181</v>
      </c>
      <c r="C305" s="28"/>
      <c r="D305" s="186" t="s">
        <v>199</v>
      </c>
      <c r="E305" s="214">
        <v>7461</v>
      </c>
      <c r="F305" s="186" t="s">
        <v>155</v>
      </c>
      <c r="G305" s="274" t="s">
        <v>200</v>
      </c>
      <c r="H305" s="188"/>
      <c r="I305" s="264"/>
      <c r="J305" s="265">
        <f t="shared" si="54"/>
        <v>71113447.75</v>
      </c>
      <c r="K305" s="266">
        <f>4117429+2331608+199990+312724+49900+49900+186000+49900</f>
        <v>7297451</v>
      </c>
      <c r="L305" s="266">
        <f>1900000+644900+49990+70000000+4835500-23541644.79+9927251.54</f>
        <v>63815996.75</v>
      </c>
      <c r="M305" s="266">
        <f>1900000+644900+49990+70000000+4835500-23541644.79+9927251.54</f>
        <v>63815996.75</v>
      </c>
      <c r="N305" s="50">
        <f>SUM(O305:W305)</f>
        <v>0</v>
      </c>
      <c r="O305" s="52"/>
      <c r="P305" s="53"/>
      <c r="Q305" s="53"/>
      <c r="R305" s="53"/>
      <c r="S305" s="53"/>
      <c r="T305" s="53"/>
      <c r="U305" s="53"/>
      <c r="V305" s="53"/>
      <c r="W305" s="53"/>
      <c r="X305" s="53"/>
      <c r="Y305" s="51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1">
        <f>Y305+N305</f>
        <v>0</v>
      </c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196"/>
    </row>
    <row r="306" spans="1:60" s="233" customFormat="1" ht="27" customHeight="1" thickBot="1" x14ac:dyDescent="0.4">
      <c r="A306" s="211" t="str">
        <f t="shared" ref="A306" si="56">IF(J306=0,"","п")</f>
        <v>п</v>
      </c>
      <c r="B306" s="212" t="s">
        <v>181</v>
      </c>
      <c r="C306" s="101"/>
      <c r="D306" s="287"/>
      <c r="E306" s="286"/>
      <c r="F306" s="287"/>
      <c r="G306" s="481" t="s">
        <v>318</v>
      </c>
      <c r="H306" s="284"/>
      <c r="I306" s="289"/>
      <c r="J306" s="290">
        <f t="shared" si="54"/>
        <v>46458355.210000001</v>
      </c>
      <c r="K306" s="291"/>
      <c r="L306" s="291">
        <f>70000000-23541644.79</f>
        <v>46458355.210000001</v>
      </c>
      <c r="M306" s="291">
        <f>70000000-23541644.79</f>
        <v>46458355.210000001</v>
      </c>
      <c r="N306" s="95"/>
      <c r="O306" s="96"/>
      <c r="P306" s="97"/>
      <c r="Q306" s="97"/>
      <c r="R306" s="97"/>
      <c r="S306" s="97"/>
      <c r="T306" s="97"/>
      <c r="U306" s="97"/>
      <c r="V306" s="97"/>
      <c r="W306" s="97"/>
      <c r="X306" s="97"/>
      <c r="Y306" s="98"/>
      <c r="Z306" s="97"/>
      <c r="AA306" s="97"/>
      <c r="AB306" s="97"/>
      <c r="AC306" s="97"/>
      <c r="AD306" s="97"/>
      <c r="AE306" s="97"/>
      <c r="AF306" s="97"/>
      <c r="AG306" s="97"/>
      <c r="AH306" s="97"/>
      <c r="AI306" s="97"/>
      <c r="AJ306" s="97"/>
      <c r="AK306" s="98"/>
      <c r="AL306" s="87"/>
      <c r="AM306" s="87"/>
      <c r="AN306" s="87"/>
      <c r="AO306" s="87"/>
      <c r="AP306" s="87"/>
      <c r="AQ306" s="87"/>
      <c r="AR306" s="87"/>
      <c r="AS306" s="87"/>
      <c r="AT306" s="87"/>
      <c r="AU306" s="87"/>
      <c r="AV306" s="87"/>
      <c r="AW306" s="87"/>
      <c r="AX306" s="87"/>
      <c r="AY306" s="87"/>
      <c r="AZ306" s="87"/>
      <c r="BA306" s="87"/>
      <c r="BB306" s="87"/>
      <c r="BC306" s="87"/>
      <c r="BD306" s="87"/>
      <c r="BE306" s="87"/>
      <c r="BF306" s="87"/>
      <c r="BG306" s="482"/>
    </row>
    <row r="307" spans="1:60" s="44" customFormat="1" ht="20.25" hidden="1" thickBot="1" x14ac:dyDescent="0.3">
      <c r="A307" s="27" t="str">
        <f t="shared" si="52"/>
        <v/>
      </c>
      <c r="B307" s="28" t="s">
        <v>182</v>
      </c>
      <c r="C307" s="28"/>
      <c r="D307" s="198" t="s">
        <v>242</v>
      </c>
      <c r="E307" s="198"/>
      <c r="F307" s="198"/>
      <c r="G307" s="199" t="s">
        <v>243</v>
      </c>
      <c r="H307" s="269"/>
      <c r="I307" s="119"/>
      <c r="J307" s="62">
        <f t="shared" si="54"/>
        <v>0</v>
      </c>
      <c r="K307" s="62">
        <f>+K308</f>
        <v>0</v>
      </c>
      <c r="L307" s="62">
        <f>+L308</f>
        <v>0</v>
      </c>
      <c r="M307" s="62">
        <f>+M308</f>
        <v>0</v>
      </c>
      <c r="N307" s="30">
        <f>SUM(O307:W307)</f>
        <v>0</v>
      </c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32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32">
        <f>Y307+N307</f>
        <v>0</v>
      </c>
      <c r="BG307" s="107"/>
    </row>
    <row r="308" spans="1:60" s="44" customFormat="1" ht="20.25" hidden="1" thickBot="1" x14ac:dyDescent="0.3">
      <c r="A308" s="27" t="str">
        <f t="shared" si="52"/>
        <v/>
      </c>
      <c r="B308" s="28" t="s">
        <v>182</v>
      </c>
      <c r="C308" s="28"/>
      <c r="D308" s="198" t="s">
        <v>244</v>
      </c>
      <c r="E308" s="198"/>
      <c r="F308" s="198"/>
      <c r="G308" s="199" t="s">
        <v>243</v>
      </c>
      <c r="H308" s="269"/>
      <c r="I308" s="119"/>
      <c r="J308" s="62">
        <f>+K308+L308</f>
        <v>0</v>
      </c>
      <c r="K308" s="62">
        <f>SUM(K309)</f>
        <v>0</v>
      </c>
      <c r="L308" s="62">
        <f>SUM(L309)</f>
        <v>0</v>
      </c>
      <c r="M308" s="62">
        <f>SUM(M309)</f>
        <v>0</v>
      </c>
      <c r="N308" s="30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32"/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32"/>
      <c r="BG308" s="107"/>
    </row>
    <row r="309" spans="1:60" s="33" customFormat="1" ht="57.75" hidden="1" customHeight="1" x14ac:dyDescent="0.3">
      <c r="A309" s="27" t="str">
        <f t="shared" si="52"/>
        <v/>
      </c>
      <c r="B309" s="28" t="s">
        <v>182</v>
      </c>
      <c r="C309" s="28"/>
      <c r="D309" s="210" t="s">
        <v>245</v>
      </c>
      <c r="E309" s="186" t="s">
        <v>92</v>
      </c>
      <c r="F309" s="186" t="s">
        <v>93</v>
      </c>
      <c r="G309" s="390" t="s">
        <v>94</v>
      </c>
      <c r="H309" s="263"/>
      <c r="I309" s="123"/>
      <c r="J309" s="136">
        <f>+K309+L309</f>
        <v>0</v>
      </c>
      <c r="K309" s="49"/>
      <c r="L309" s="49"/>
      <c r="M309" s="49"/>
      <c r="N309" s="30">
        <f>SUM(O309:W309)</f>
        <v>0</v>
      </c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2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2">
        <f>Y309+N309</f>
        <v>0</v>
      </c>
      <c r="BG309" s="107"/>
    </row>
    <row r="310" spans="1:60" s="87" customFormat="1" ht="42" hidden="1" customHeight="1" thickBot="1" x14ac:dyDescent="0.35">
      <c r="A310" s="27" t="str">
        <f t="shared" si="52"/>
        <v/>
      </c>
      <c r="B310" s="101" t="s">
        <v>182</v>
      </c>
      <c r="C310" s="104"/>
      <c r="D310" s="463"/>
      <c r="E310" s="215"/>
      <c r="F310" s="216"/>
      <c r="G310" s="217" t="s">
        <v>22</v>
      </c>
      <c r="H310" s="284"/>
      <c r="I310" s="125"/>
      <c r="J310" s="130">
        <f>+K310+L310</f>
        <v>0</v>
      </c>
      <c r="K310" s="34"/>
      <c r="L310" s="34"/>
      <c r="M310" s="34"/>
      <c r="N310" s="106"/>
      <c r="O310" s="85"/>
      <c r="P310" s="85"/>
      <c r="Q310" s="85"/>
      <c r="R310" s="85"/>
      <c r="S310" s="85"/>
      <c r="T310" s="85"/>
      <c r="U310" s="85"/>
      <c r="V310" s="85"/>
      <c r="W310" s="85"/>
      <c r="X310" s="85"/>
      <c r="Y310" s="88"/>
      <c r="Z310" s="85"/>
      <c r="AA310" s="85"/>
      <c r="AB310" s="85"/>
      <c r="AC310" s="85"/>
      <c r="AD310" s="85"/>
      <c r="AE310" s="85"/>
      <c r="AF310" s="85"/>
      <c r="AG310" s="85"/>
      <c r="AH310" s="85"/>
      <c r="AI310" s="85"/>
      <c r="AJ310" s="85"/>
      <c r="AK310" s="88"/>
      <c r="BG310" s="107"/>
    </row>
    <row r="311" spans="1:60" s="302" customFormat="1" ht="19.5" thickBot="1" x14ac:dyDescent="0.35">
      <c r="A311" s="154" t="str">
        <f t="shared" si="52"/>
        <v>п</v>
      </c>
      <c r="B311" s="155"/>
      <c r="C311" s="28"/>
      <c r="D311" s="531" t="s">
        <v>4</v>
      </c>
      <c r="E311" s="532"/>
      <c r="F311" s="532"/>
      <c r="G311" s="533"/>
      <c r="H311" s="293"/>
      <c r="I311" s="294"/>
      <c r="J311" s="295">
        <f>+K311+L311</f>
        <v>214074953.11000001</v>
      </c>
      <c r="K311" s="295">
        <f>+K8+K23+K32+K40+K44+K52+K57+K71+K79+K113+K135+K139+K143+K147+K157+K187+K192+K196+K200+K204+K208+K212+K218+K222+K226+K231+K36+K131</f>
        <v>110292706.88</v>
      </c>
      <c r="L311" s="295">
        <f>+L8+L23+L32+L40+L44+L52+L57+L71+L79+L113+L135+L139+L143+L147+L157+L187+L192+L196+L200+L204+L208+L212+L218+L222+L226+L231+L36+L131</f>
        <v>103782246.23</v>
      </c>
      <c r="M311" s="295">
        <f>+M8+M23+M32+M40+M44+M52+M57+M71+M79+M113+M135+M139+M143+M147+M157+M187+M192+M196+M200+M204+M208+M212+M218+M222+M226+M231+M36+M131</f>
        <v>102719646.23</v>
      </c>
      <c r="N311" s="54" t="e">
        <f>N8+N23+#REF!+N40+N52+N57+N79+#REF!+N113+#REF!+N157+N187+N135+N139+N196+#REF!+N71+N226+N231</f>
        <v>#REF!</v>
      </c>
      <c r="O311" s="55" t="e">
        <f>O8+O23+#REF!+O40+O52+O57+O79+#REF!+O113+#REF!+O157+O187+O135+O139+O196+#REF!+O71+O226+O231</f>
        <v>#REF!</v>
      </c>
      <c r="P311" s="55" t="e">
        <f>P8+P23+#REF!+P40+P52+P57+P79+#REF!+P113+#REF!+P157+P187+P135+P139+P196+#REF!+P71+P226+P231</f>
        <v>#REF!</v>
      </c>
      <c r="Q311" s="55" t="e">
        <f>Q8+Q23+#REF!+Q40+Q52+Q57+Q79+#REF!+Q113+#REF!+Q157+Q187+Q135+Q139+Q196+#REF!+Q71+Q226+Q231</f>
        <v>#REF!</v>
      </c>
      <c r="R311" s="55" t="e">
        <f>R8+R23+#REF!+R40+R52+R57+R79+#REF!+R113+#REF!+R157+R187+R135+R139+R196+#REF!+R71+R226+R231</f>
        <v>#REF!</v>
      </c>
      <c r="S311" s="55" t="e">
        <f>S8+S23+#REF!+S40+S52+S57+S79+#REF!+S113+#REF!+S157+S187+S135+S139+S196+#REF!+S71+S226+S231</f>
        <v>#REF!</v>
      </c>
      <c r="T311" s="55" t="e">
        <f>T8+T23+#REF!+T40+T52+T57+T79+#REF!+T113+#REF!+T157+T187+T135+T139+T196+#REF!+T71+T226+T231</f>
        <v>#REF!</v>
      </c>
      <c r="U311" s="55" t="e">
        <f>U8+U23+#REF!+U40+U52+U57+U79+#REF!+U113+#REF!+U157+U187+U135+U139+U196+#REF!+U71+U226+U231</f>
        <v>#REF!</v>
      </c>
      <c r="V311" s="55" t="e">
        <f>V8+V23+#REF!+V40+V52+V57+V79+#REF!+V113+#REF!+V157+V187+V135+V139+V196+#REF!+V71+V226+V231</f>
        <v>#REF!</v>
      </c>
      <c r="W311" s="55" t="e">
        <f>W8+W23+#REF!+W40+W52+W57+W79+#REF!+W113+#REF!+W157+W187+W135+W139+W196+#REF!+W71+W226+W231</f>
        <v>#REF!</v>
      </c>
      <c r="X311" s="55" t="e">
        <f>X8+X23+#REF!+X40+X52+X57+X79+#REF!+X113+#REF!+X157+X187+X135+X139+X196+#REF!+X71+X226+X231</f>
        <v>#REF!</v>
      </c>
      <c r="Y311" s="55" t="e">
        <f>Y8+Y23+#REF!+Y40+Y52+Y57+Y79+#REF!+Y113+#REF!+Y157+Y187+Y135+Y139+Y196+#REF!+Y71+Y226+Y231</f>
        <v>#REF!</v>
      </c>
      <c r="Z311" s="55" t="e">
        <f>Z8+Z23+#REF!+Z40+Z52+Z57+Z79+#REF!+Z113+#REF!+Z157+Z187+Z135+Z139+Z196+#REF!+Z71+Z226+Z231</f>
        <v>#REF!</v>
      </c>
      <c r="AA311" s="55" t="e">
        <f>AA8+AA23+#REF!+AA40+AA52+AA57+AA79+#REF!+AA113+#REF!+AA157+AA187+AA135+AA139+AA196+#REF!+AA71+AA226+AA231</f>
        <v>#REF!</v>
      </c>
      <c r="AB311" s="55" t="e">
        <f>AB8+AB23+#REF!+AB40+AB52+AB57+AB79+#REF!+AB113+#REF!+AB157+AB187+AB135+AB139+AB196+#REF!+AB71+AB226+AB231</f>
        <v>#REF!</v>
      </c>
      <c r="AC311" s="55" t="e">
        <f>AC8+AC23+#REF!+AC40+AC52+AC57+AC79+#REF!+AC113+#REF!+AC157+AC187+AC135+AC139+AC196+#REF!+AC71+AC226+AC231</f>
        <v>#REF!</v>
      </c>
      <c r="AD311" s="55" t="e">
        <f>AD8+AD23+#REF!+AD40+AD52+AD57+AD79+#REF!+AD113+#REF!+AD157+AD187+AD135+AD139+AD196+#REF!+AD71+AD226+AD231</f>
        <v>#REF!</v>
      </c>
      <c r="AE311" s="55" t="e">
        <f>AE8+AE23+#REF!+AE40+AE52+AE57+AE79+#REF!+AE113+#REF!+AE157+AE187+AE135+AE139+AE196+#REF!+AE71+AE226+AE231</f>
        <v>#REF!</v>
      </c>
      <c r="AF311" s="55" t="e">
        <f>AF8+AF23+#REF!+AF40+AF52+AF57+AF79+#REF!+AF113+#REF!+AF157+AF187+AF135+AF139+AF196+#REF!+AF71+AF226+AF231</f>
        <v>#REF!</v>
      </c>
      <c r="AG311" s="55" t="e">
        <f>AG8+AG23+#REF!+AG40+AG52+AG57+AG79+#REF!+AG113+#REF!+AG157+AG187+AG135+AG139+AG196+#REF!+AG71+AG226+AG231</f>
        <v>#REF!</v>
      </c>
      <c r="AH311" s="55" t="e">
        <f>AH8+AH23+#REF!+AH40+AH52+AH57+AH79+#REF!+AH113+#REF!+AH157+AH187+AH135+AH139+AH196+#REF!+AH71+AH226+AH231</f>
        <v>#REF!</v>
      </c>
      <c r="AI311" s="55" t="e">
        <f>AI8+AI23+#REF!+AI40+AI52+AI57+AI79+#REF!+AI113+#REF!+AI157+AI187+AI135+AI139+AI196+#REF!+AI71+AI226+AI231</f>
        <v>#REF!</v>
      </c>
      <c r="AJ311" s="55" t="e">
        <f>AJ8+AJ23+#REF!+AJ40+AJ52+AJ57+AJ79+#REF!+AJ113+#REF!+AJ157+AJ187+AJ135+AJ139+AJ196+#REF!+AJ71+AJ226+AJ231</f>
        <v>#REF!</v>
      </c>
      <c r="AK311" s="55" t="e">
        <f>AK8+AK23+#REF!+AK40+AK52+AK57+AK79+#REF!+AK113+#REF!+AK157+AK187+AK135+AK139+AK196+#REF!+AK71+AK226+AK231</f>
        <v>#REF!</v>
      </c>
      <c r="AL311" s="56"/>
      <c r="AM311" s="56"/>
      <c r="AN311" s="56"/>
      <c r="AO311" s="56"/>
      <c r="AP311" s="56"/>
      <c r="AQ311" s="56"/>
      <c r="AR311" s="56"/>
      <c r="AS311" s="56"/>
      <c r="AT311" s="56"/>
      <c r="AU311" s="56"/>
      <c r="AV311" s="56"/>
      <c r="AW311" s="56"/>
      <c r="AX311" s="56"/>
      <c r="AY311" s="56"/>
      <c r="AZ311" s="56"/>
      <c r="BA311" s="56"/>
      <c r="BB311" s="56"/>
      <c r="BC311" s="56"/>
      <c r="BD311" s="56"/>
      <c r="BE311" s="56"/>
      <c r="BF311" s="56"/>
      <c r="BG311" s="196"/>
      <c r="BH311" s="484"/>
    </row>
    <row r="312" spans="1:60" s="300" customFormat="1" x14ac:dyDescent="0.3">
      <c r="A312" s="154" t="s">
        <v>12</v>
      </c>
      <c r="B312" s="155"/>
      <c r="C312" s="8"/>
      <c r="D312" s="466"/>
      <c r="E312" s="296"/>
      <c r="F312" s="296"/>
      <c r="G312" s="297"/>
      <c r="H312" s="298"/>
      <c r="I312" s="299"/>
      <c r="J312" s="298"/>
      <c r="M312" s="301"/>
      <c r="N312" s="11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10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10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196"/>
    </row>
    <row r="313" spans="1:60" s="9" customFormat="1" ht="18" hidden="1" x14ac:dyDescent="0.25">
      <c r="A313" s="27"/>
      <c r="B313" s="8"/>
      <c r="C313" s="8"/>
      <c r="D313" s="466"/>
      <c r="E313" s="296"/>
      <c r="F313" s="296"/>
      <c r="G313" s="297"/>
      <c r="H313" s="298"/>
      <c r="I313" s="142"/>
      <c r="J313" s="108"/>
      <c r="M313" s="12"/>
      <c r="N313" s="11"/>
      <c r="Y313" s="10"/>
      <c r="AK313" s="10"/>
      <c r="BG313" s="107"/>
    </row>
    <row r="314" spans="1:60" s="356" customFormat="1" ht="48.75" customHeight="1" x14ac:dyDescent="0.3">
      <c r="A314" s="44" t="s">
        <v>12</v>
      </c>
      <c r="B314" s="489"/>
      <c r="C314" s="8"/>
      <c r="D314" s="466"/>
      <c r="E314" s="355" t="s">
        <v>328</v>
      </c>
      <c r="F314" s="355"/>
      <c r="H314" s="355"/>
      <c r="I314" s="357"/>
      <c r="J314" s="355"/>
      <c r="K314" s="358"/>
      <c r="L314" s="354" t="s">
        <v>329</v>
      </c>
      <c r="M314" s="355"/>
      <c r="N314" s="11"/>
      <c r="O314" s="12"/>
      <c r="P314" s="9"/>
      <c r="Q314" s="9"/>
      <c r="R314" s="9"/>
      <c r="S314" s="9"/>
      <c r="T314" s="9"/>
      <c r="U314" s="9"/>
      <c r="V314" s="12"/>
      <c r="W314" s="9"/>
      <c r="X314" s="9"/>
      <c r="Y314" s="10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10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359"/>
    </row>
    <row r="315" spans="1:60" s="44" customFormat="1" hidden="1" x14ac:dyDescent="0.3">
      <c r="B315" s="28"/>
      <c r="C315" s="28"/>
      <c r="D315" s="467"/>
      <c r="E315" s="195" t="s">
        <v>146</v>
      </c>
      <c r="F315" s="195"/>
      <c r="G315" s="434"/>
      <c r="H315" s="435"/>
      <c r="I315" s="436"/>
      <c r="J315" s="435"/>
      <c r="K315" s="435"/>
      <c r="L315" s="435" t="s">
        <v>301</v>
      </c>
      <c r="M315" s="435"/>
      <c r="N315" s="57"/>
      <c r="BG315" s="107"/>
    </row>
    <row r="316" spans="1:60" s="44" customFormat="1" hidden="1" x14ac:dyDescent="0.3">
      <c r="B316" s="28"/>
      <c r="C316" s="28"/>
      <c r="D316" s="467"/>
      <c r="E316" s="195" t="s">
        <v>299</v>
      </c>
      <c r="F316" s="195"/>
      <c r="G316" s="437"/>
      <c r="H316" s="438"/>
      <c r="I316" s="439"/>
      <c r="J316" s="438"/>
      <c r="K316" s="438"/>
      <c r="L316" s="435" t="s">
        <v>300</v>
      </c>
      <c r="M316" s="438"/>
      <c r="N316" s="57"/>
      <c r="BG316" s="107"/>
    </row>
    <row r="317" spans="1:60" s="44" customFormat="1" ht="24" hidden="1" customHeight="1" x14ac:dyDescent="0.3">
      <c r="B317" s="28"/>
      <c r="C317" s="28"/>
      <c r="D317" s="467"/>
      <c r="E317" s="452"/>
      <c r="F317" s="197"/>
      <c r="G317" s="447"/>
      <c r="H317" s="376"/>
      <c r="I317" s="139"/>
      <c r="J317" s="109"/>
      <c r="L317" s="107"/>
      <c r="M317" s="107"/>
      <c r="N317" s="57"/>
      <c r="BG317" s="107"/>
    </row>
    <row r="318" spans="1:60" s="9" customFormat="1" ht="18" hidden="1" x14ac:dyDescent="0.25">
      <c r="B318" s="8"/>
      <c r="C318" s="23"/>
      <c r="D318" s="468"/>
      <c r="E318" s="300"/>
      <c r="F318" s="300"/>
      <c r="G318" s="297"/>
      <c r="H318" s="164"/>
      <c r="I318" s="142"/>
      <c r="J318" s="58"/>
      <c r="N318" s="11"/>
      <c r="Y318" s="10"/>
      <c r="AK318" s="10"/>
      <c r="BG318" s="107"/>
    </row>
    <row r="319" spans="1:60" s="13" customFormat="1" ht="18" hidden="1" x14ac:dyDescent="0.25">
      <c r="A319" s="8"/>
      <c r="B319" s="8"/>
      <c r="C319" s="24"/>
      <c r="D319" s="469"/>
      <c r="E319" s="369"/>
      <c r="F319" s="369"/>
      <c r="G319" s="448"/>
      <c r="H319" s="377"/>
      <c r="I319" s="144"/>
      <c r="J319" s="59"/>
      <c r="K319" s="16"/>
      <c r="L319" s="16"/>
      <c r="M319" s="16"/>
      <c r="N319" s="14"/>
      <c r="Y319" s="15"/>
      <c r="AK319" s="15"/>
      <c r="BG319" s="107"/>
    </row>
    <row r="320" spans="1:60" s="300" customFormat="1" x14ac:dyDescent="0.3">
      <c r="A320" s="292"/>
      <c r="B320" s="155"/>
      <c r="C320" s="23"/>
      <c r="D320" s="468"/>
      <c r="G320" s="307"/>
      <c r="H320" s="308"/>
      <c r="I320" s="299"/>
      <c r="J320" s="308"/>
      <c r="K320" s="309"/>
      <c r="L320" s="309"/>
      <c r="M320" s="309"/>
      <c r="N320" s="11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10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10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196"/>
    </row>
    <row r="321" spans="1:59" s="310" customFormat="1" hidden="1" x14ac:dyDescent="0.3">
      <c r="A321" s="303"/>
      <c r="B321" s="303"/>
      <c r="C321" s="77"/>
      <c r="D321" s="470"/>
      <c r="G321" s="311" t="s">
        <v>19</v>
      </c>
      <c r="H321" s="312"/>
      <c r="I321" s="313"/>
      <c r="J321" s="314">
        <v>118274701</v>
      </c>
      <c r="K321" s="315">
        <v>81528252</v>
      </c>
      <c r="L321" s="315">
        <v>36746449</v>
      </c>
      <c r="M321" s="315">
        <v>36626449</v>
      </c>
      <c r="N321" s="80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9"/>
      <c r="Z321" s="78"/>
      <c r="AA321" s="78"/>
      <c r="AB321" s="78"/>
      <c r="AC321" s="78"/>
      <c r="AD321" s="78"/>
      <c r="AE321" s="78"/>
      <c r="AF321" s="78"/>
      <c r="AG321" s="78"/>
      <c r="AH321" s="78"/>
      <c r="AI321" s="78"/>
      <c r="AJ321" s="78"/>
      <c r="AK321" s="79"/>
      <c r="AL321" s="78"/>
      <c r="AM321" s="78"/>
      <c r="AN321" s="78"/>
      <c r="AO321" s="78"/>
      <c r="AP321" s="78"/>
      <c r="AQ321" s="78"/>
      <c r="AR321" s="78"/>
      <c r="AS321" s="78"/>
      <c r="AT321" s="78"/>
      <c r="AU321" s="78"/>
      <c r="AV321" s="78"/>
      <c r="AW321" s="78"/>
      <c r="AX321" s="78"/>
      <c r="AY321" s="78"/>
      <c r="AZ321" s="78"/>
      <c r="BA321" s="78"/>
      <c r="BB321" s="78"/>
      <c r="BC321" s="78"/>
      <c r="BD321" s="78"/>
      <c r="BE321" s="78"/>
      <c r="BF321" s="78"/>
      <c r="BG321" s="196"/>
    </row>
    <row r="322" spans="1:59" s="300" customFormat="1" hidden="1" x14ac:dyDescent="0.3">
      <c r="A322" s="292"/>
      <c r="B322" s="292"/>
      <c r="C322" s="25"/>
      <c r="D322" s="468"/>
      <c r="G322" s="307"/>
      <c r="H322" s="308"/>
      <c r="I322" s="299"/>
      <c r="J322" s="308"/>
      <c r="K322" s="309"/>
      <c r="L322" s="301"/>
      <c r="M322" s="309"/>
      <c r="N322" s="18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9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9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96"/>
    </row>
    <row r="323" spans="1:59" s="316" customFormat="1" hidden="1" x14ac:dyDescent="0.3">
      <c r="A323" s="304"/>
      <c r="B323" s="304"/>
      <c r="C323" s="73"/>
      <c r="D323" s="471"/>
      <c r="G323" s="317" t="s">
        <v>6</v>
      </c>
      <c r="H323" s="318"/>
      <c r="I323" s="319"/>
      <c r="J323" s="320">
        <f>+J311-J321</f>
        <v>95800252.110000014</v>
      </c>
      <c r="K323" s="320">
        <f>+K311-K321</f>
        <v>28764454.879999995</v>
      </c>
      <c r="L323" s="320">
        <f>+L311-L321</f>
        <v>67035797.230000004</v>
      </c>
      <c r="M323" s="320">
        <f>+M311-M321</f>
        <v>66093197.230000004</v>
      </c>
      <c r="N323" s="75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6"/>
      <c r="Z323" s="74"/>
      <c r="AA323" s="74"/>
      <c r="AB323" s="74"/>
      <c r="AC323" s="74"/>
      <c r="AD323" s="74"/>
      <c r="AE323" s="74"/>
      <c r="AF323" s="74"/>
      <c r="AG323" s="74"/>
      <c r="AH323" s="74"/>
      <c r="AI323" s="74"/>
      <c r="AJ323" s="74"/>
      <c r="AK323" s="76"/>
      <c r="AL323" s="74"/>
      <c r="AM323" s="74"/>
      <c r="AN323" s="74"/>
      <c r="AO323" s="74"/>
      <c r="AP323" s="74"/>
      <c r="AQ323" s="74"/>
      <c r="AR323" s="74"/>
      <c r="AS323" s="74"/>
      <c r="AT323" s="74"/>
      <c r="AU323" s="74"/>
      <c r="AV323" s="74"/>
      <c r="AW323" s="74"/>
      <c r="AX323" s="74"/>
      <c r="AY323" s="74"/>
      <c r="AZ323" s="74"/>
      <c r="BA323" s="74"/>
      <c r="BB323" s="74"/>
      <c r="BC323" s="74"/>
      <c r="BD323" s="74"/>
      <c r="BE323" s="74"/>
      <c r="BF323" s="74"/>
      <c r="BG323" s="196"/>
    </row>
    <row r="324" spans="1:59" s="300" customFormat="1" hidden="1" x14ac:dyDescent="0.3">
      <c r="A324" s="305"/>
      <c r="B324" s="305"/>
      <c r="C324" s="26"/>
      <c r="D324" s="468"/>
      <c r="G324" s="297"/>
      <c r="H324" s="308"/>
      <c r="I324" s="299"/>
      <c r="J324" s="301"/>
      <c r="K324" s="301"/>
      <c r="L324" s="301"/>
      <c r="N324" s="72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196"/>
    </row>
    <row r="325" spans="1:59" s="321" customFormat="1" hidden="1" x14ac:dyDescent="0.3">
      <c r="A325" s="306"/>
      <c r="B325" s="306"/>
      <c r="C325" s="26"/>
      <c r="D325" s="472"/>
      <c r="G325" s="322"/>
      <c r="H325" s="323" t="s">
        <v>176</v>
      </c>
      <c r="I325" s="324"/>
      <c r="J325" s="325">
        <f>J323-J326</f>
        <v>92875794.110000014</v>
      </c>
      <c r="K325" s="325">
        <f>K323-K326</f>
        <v>28538996.879999995</v>
      </c>
      <c r="L325" s="325">
        <f>L323-L326</f>
        <v>64336797.230000004</v>
      </c>
      <c r="M325" s="325">
        <f>M323-M326</f>
        <v>63394197.230000004</v>
      </c>
      <c r="N325" s="20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196"/>
    </row>
    <row r="326" spans="1:59" s="300" customFormat="1" hidden="1" x14ac:dyDescent="0.3">
      <c r="A326" s="305"/>
      <c r="B326" s="305"/>
      <c r="C326" s="26"/>
      <c r="D326" s="468"/>
      <c r="G326" s="297"/>
      <c r="H326" s="326" t="s">
        <v>23</v>
      </c>
      <c r="I326" s="327"/>
      <c r="J326" s="328">
        <f>K326+L326</f>
        <v>2924458</v>
      </c>
      <c r="K326" s="329">
        <f>SUM(K327:K359)</f>
        <v>225458</v>
      </c>
      <c r="L326" s="329">
        <f>SUM(L327:L359)</f>
        <v>2699000</v>
      </c>
      <c r="M326" s="329">
        <f>SUM(M327:M359)</f>
        <v>2699000</v>
      </c>
      <c r="N326" s="20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196"/>
    </row>
    <row r="327" spans="1:59" s="300" customFormat="1" hidden="1" x14ac:dyDescent="0.3">
      <c r="A327" s="305"/>
      <c r="B327" s="305"/>
      <c r="C327" s="26"/>
      <c r="D327" s="468"/>
      <c r="G327" s="297"/>
      <c r="H327" s="308"/>
      <c r="I327" s="330"/>
      <c r="J327" s="328">
        <f t="shared" ref="J327:J358" si="57">K327+L327</f>
        <v>1470124</v>
      </c>
      <c r="K327" s="331">
        <v>20124</v>
      </c>
      <c r="L327" s="331">
        <v>1450000</v>
      </c>
      <c r="M327" s="331">
        <v>1450000</v>
      </c>
      <c r="N327" s="20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196"/>
    </row>
    <row r="328" spans="1:59" s="300" customFormat="1" hidden="1" x14ac:dyDescent="0.3">
      <c r="A328" s="305"/>
      <c r="B328" s="305"/>
      <c r="C328" s="26"/>
      <c r="D328" s="468"/>
      <c r="G328" s="297"/>
      <c r="H328" s="308"/>
      <c r="I328" s="332"/>
      <c r="J328" s="328">
        <f t="shared" si="57"/>
        <v>194334</v>
      </c>
      <c r="K328" s="331">
        <v>145334</v>
      </c>
      <c r="L328" s="331">
        <v>49000</v>
      </c>
      <c r="M328" s="331">
        <v>49000</v>
      </c>
      <c r="N328" s="20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196"/>
    </row>
    <row r="329" spans="1:59" s="300" customFormat="1" hidden="1" x14ac:dyDescent="0.3">
      <c r="A329" s="305"/>
      <c r="B329" s="305"/>
      <c r="C329" s="26"/>
      <c r="D329" s="468"/>
      <c r="G329" s="333"/>
      <c r="H329" s="334">
        <v>168264331.63</v>
      </c>
      <c r="I329" s="332"/>
      <c r="J329" s="328">
        <f t="shared" si="57"/>
        <v>60000</v>
      </c>
      <c r="K329" s="331">
        <v>60000</v>
      </c>
      <c r="L329" s="331"/>
      <c r="M329" s="331"/>
      <c r="N329" s="20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196"/>
    </row>
    <row r="330" spans="1:59" s="300" customFormat="1" hidden="1" x14ac:dyDescent="0.3">
      <c r="A330" s="305"/>
      <c r="B330" s="305"/>
      <c r="C330" s="26"/>
      <c r="D330" s="468"/>
      <c r="G330" s="333"/>
      <c r="H330" s="334"/>
      <c r="I330" s="332"/>
      <c r="J330" s="328">
        <f t="shared" si="57"/>
        <v>1200000</v>
      </c>
      <c r="K330" s="331"/>
      <c r="L330" s="331">
        <v>1200000</v>
      </c>
      <c r="M330" s="331">
        <v>1200000</v>
      </c>
      <c r="N330" s="20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196"/>
    </row>
    <row r="331" spans="1:59" s="300" customFormat="1" hidden="1" x14ac:dyDescent="0.3">
      <c r="A331" s="305"/>
      <c r="B331" s="305"/>
      <c r="C331" s="26"/>
      <c r="D331" s="468"/>
      <c r="G331" s="515" t="s">
        <v>295</v>
      </c>
      <c r="H331" s="512">
        <f>+L311-L192-M311</f>
        <v>1062600</v>
      </c>
      <c r="I331" s="332"/>
      <c r="J331" s="335">
        <f t="shared" si="57"/>
        <v>0</v>
      </c>
      <c r="K331" s="331"/>
      <c r="L331" s="331"/>
      <c r="M331" s="331"/>
      <c r="N331" s="20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196"/>
    </row>
    <row r="332" spans="1:59" s="300" customFormat="1" hidden="1" x14ac:dyDescent="0.3">
      <c r="A332" s="305"/>
      <c r="B332" s="305"/>
      <c r="C332" s="26"/>
      <c r="D332" s="468"/>
      <c r="G332" s="516"/>
      <c r="H332" s="513"/>
      <c r="I332" s="336"/>
      <c r="J332" s="328">
        <f t="shared" si="57"/>
        <v>0</v>
      </c>
      <c r="K332" s="337"/>
      <c r="L332" s="338"/>
      <c r="M332" s="338"/>
      <c r="N332" s="20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196"/>
    </row>
    <row r="333" spans="1:59" s="300" customFormat="1" hidden="1" x14ac:dyDescent="0.3">
      <c r="A333" s="305"/>
      <c r="B333" s="305"/>
      <c r="C333" s="26"/>
      <c r="D333" s="468"/>
      <c r="G333" s="517"/>
      <c r="H333" s="514"/>
      <c r="I333" s="336"/>
      <c r="J333" s="328">
        <f t="shared" si="57"/>
        <v>0</v>
      </c>
      <c r="K333" s="337"/>
      <c r="L333" s="338"/>
      <c r="M333" s="338"/>
      <c r="N333" s="20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196"/>
    </row>
    <row r="334" spans="1:59" s="300" customFormat="1" hidden="1" x14ac:dyDescent="0.3">
      <c r="A334" s="292"/>
      <c r="B334" s="292"/>
      <c r="C334" s="23"/>
      <c r="D334" s="468"/>
      <c r="G334" s="333"/>
      <c r="H334" s="334"/>
      <c r="I334" s="511"/>
      <c r="J334" s="328">
        <f t="shared" si="57"/>
        <v>0</v>
      </c>
      <c r="K334" s="337"/>
      <c r="L334" s="338"/>
      <c r="M334" s="338"/>
      <c r="N334" s="11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10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10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196"/>
    </row>
    <row r="335" spans="1:59" s="300" customFormat="1" hidden="1" x14ac:dyDescent="0.3">
      <c r="A335" s="292"/>
      <c r="B335" s="292"/>
      <c r="C335" s="23"/>
      <c r="D335" s="468"/>
      <c r="G335" s="297"/>
      <c r="I335" s="511"/>
      <c r="J335" s="328">
        <f t="shared" si="57"/>
        <v>0</v>
      </c>
      <c r="K335" s="337"/>
      <c r="L335" s="337"/>
      <c r="M335" s="337"/>
      <c r="N335" s="11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0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10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196"/>
    </row>
    <row r="336" spans="1:59" hidden="1" x14ac:dyDescent="0.3">
      <c r="B336" s="151"/>
      <c r="I336" s="511"/>
      <c r="J336" s="328">
        <f t="shared" si="57"/>
        <v>0</v>
      </c>
      <c r="K336" s="337"/>
      <c r="L336" s="338"/>
      <c r="M336" s="338"/>
      <c r="BG336" s="196"/>
    </row>
    <row r="337" spans="2:59" hidden="1" x14ac:dyDescent="0.3">
      <c r="B337" s="151"/>
      <c r="H337" s="340"/>
      <c r="I337" s="511"/>
      <c r="J337" s="328">
        <f t="shared" si="57"/>
        <v>0</v>
      </c>
      <c r="K337" s="337"/>
      <c r="L337" s="338"/>
      <c r="M337" s="338"/>
      <c r="BG337" s="196"/>
    </row>
    <row r="338" spans="2:59" hidden="1" x14ac:dyDescent="0.3">
      <c r="B338" s="151"/>
      <c r="H338" s="340"/>
      <c r="I338" s="511"/>
      <c r="J338" s="328">
        <f t="shared" si="57"/>
        <v>0</v>
      </c>
      <c r="K338" s="337"/>
      <c r="L338" s="338"/>
      <c r="M338" s="338"/>
      <c r="BG338" s="196"/>
    </row>
    <row r="339" spans="2:59" hidden="1" x14ac:dyDescent="0.3">
      <c r="B339" s="151"/>
      <c r="H339" s="340"/>
      <c r="I339" s="341"/>
      <c r="J339" s="328">
        <f t="shared" si="57"/>
        <v>0</v>
      </c>
      <c r="K339" s="337"/>
      <c r="L339" s="338"/>
      <c r="M339" s="338"/>
      <c r="BG339" s="196"/>
    </row>
    <row r="340" spans="2:59" hidden="1" x14ac:dyDescent="0.3">
      <c r="B340" s="151"/>
      <c r="H340" s="342"/>
      <c r="I340" s="336"/>
      <c r="J340" s="328">
        <f t="shared" si="57"/>
        <v>0</v>
      </c>
      <c r="K340" s="337"/>
      <c r="L340" s="338"/>
      <c r="M340" s="338"/>
      <c r="BG340" s="196"/>
    </row>
    <row r="341" spans="2:59" hidden="1" x14ac:dyDescent="0.3">
      <c r="B341" s="151"/>
      <c r="H341" s="340"/>
      <c r="I341" s="341"/>
      <c r="J341" s="328">
        <f t="shared" si="57"/>
        <v>0</v>
      </c>
      <c r="K341" s="337"/>
      <c r="L341" s="338"/>
      <c r="M341" s="338"/>
      <c r="BG341" s="196"/>
    </row>
    <row r="342" spans="2:59" hidden="1" x14ac:dyDescent="0.3">
      <c r="B342" s="151"/>
      <c r="H342" s="340"/>
      <c r="I342" s="341"/>
      <c r="J342" s="328">
        <f t="shared" si="57"/>
        <v>0</v>
      </c>
      <c r="K342" s="337"/>
      <c r="L342" s="338"/>
      <c r="M342" s="338"/>
      <c r="BG342" s="196"/>
    </row>
    <row r="343" spans="2:59" hidden="1" x14ac:dyDescent="0.3">
      <c r="B343" s="151"/>
      <c r="H343" s="340"/>
      <c r="I343" s="341"/>
      <c r="J343" s="328">
        <f t="shared" si="57"/>
        <v>0</v>
      </c>
      <c r="K343" s="337"/>
      <c r="L343" s="338"/>
      <c r="M343" s="338"/>
      <c r="BG343" s="196"/>
    </row>
    <row r="344" spans="2:59" hidden="1" x14ac:dyDescent="0.3">
      <c r="B344" s="151"/>
      <c r="H344" s="340"/>
      <c r="I344" s="343"/>
      <c r="J344" s="344">
        <f t="shared" si="57"/>
        <v>0</v>
      </c>
      <c r="K344" s="345"/>
      <c r="L344" s="337"/>
      <c r="M344" s="337"/>
      <c r="BG344" s="196"/>
    </row>
    <row r="345" spans="2:59" hidden="1" x14ac:dyDescent="0.3">
      <c r="B345" s="151"/>
      <c r="H345" s="346"/>
      <c r="I345" s="343"/>
      <c r="J345" s="328">
        <f t="shared" si="57"/>
        <v>0</v>
      </c>
      <c r="K345" s="337"/>
      <c r="L345" s="337"/>
      <c r="M345" s="337"/>
      <c r="BG345" s="196"/>
    </row>
    <row r="346" spans="2:59" hidden="1" x14ac:dyDescent="0.3">
      <c r="B346" s="151"/>
      <c r="H346" s="346"/>
      <c r="I346" s="343"/>
      <c r="J346" s="328">
        <f t="shared" si="57"/>
        <v>0</v>
      </c>
      <c r="K346" s="337"/>
      <c r="L346" s="337"/>
      <c r="M346" s="337"/>
      <c r="BG346" s="196"/>
    </row>
    <row r="347" spans="2:59" hidden="1" x14ac:dyDescent="0.3">
      <c r="B347" s="151"/>
      <c r="H347" s="346"/>
      <c r="I347" s="343"/>
      <c r="J347" s="328">
        <f t="shared" si="57"/>
        <v>0</v>
      </c>
      <c r="K347" s="337"/>
      <c r="L347" s="337"/>
      <c r="M347" s="337"/>
      <c r="BG347" s="196"/>
    </row>
    <row r="348" spans="2:59" hidden="1" x14ac:dyDescent="0.3">
      <c r="B348" s="151"/>
      <c r="H348" s="346"/>
      <c r="I348" s="343"/>
      <c r="J348" s="328">
        <f t="shared" si="57"/>
        <v>0</v>
      </c>
      <c r="K348" s="337"/>
      <c r="L348" s="337"/>
      <c r="M348" s="337"/>
      <c r="BG348" s="196"/>
    </row>
    <row r="349" spans="2:59" hidden="1" x14ac:dyDescent="0.3">
      <c r="B349" s="151"/>
      <c r="H349" s="346"/>
      <c r="I349" s="343"/>
      <c r="J349" s="328">
        <f t="shared" si="57"/>
        <v>0</v>
      </c>
      <c r="K349" s="337"/>
      <c r="L349" s="337"/>
      <c r="M349" s="337"/>
      <c r="BG349" s="196"/>
    </row>
    <row r="350" spans="2:59" hidden="1" x14ac:dyDescent="0.3">
      <c r="B350" s="151"/>
      <c r="H350" s="346"/>
      <c r="I350" s="341"/>
      <c r="J350" s="328">
        <f t="shared" si="57"/>
        <v>0</v>
      </c>
      <c r="K350" s="338"/>
      <c r="L350" s="337"/>
      <c r="M350" s="337"/>
      <c r="BG350" s="196"/>
    </row>
    <row r="351" spans="2:59" hidden="1" x14ac:dyDescent="0.3">
      <c r="B351" s="151"/>
      <c r="H351" s="346"/>
      <c r="I351" s="541"/>
      <c r="J351" s="328">
        <f t="shared" si="57"/>
        <v>0</v>
      </c>
      <c r="K351" s="338"/>
      <c r="L351" s="337"/>
      <c r="M351" s="337"/>
      <c r="BG351" s="196"/>
    </row>
    <row r="352" spans="2:59" hidden="1" x14ac:dyDescent="0.3">
      <c r="B352" s="151"/>
      <c r="H352" s="346"/>
      <c r="I352" s="541"/>
      <c r="J352" s="328">
        <f t="shared" si="57"/>
        <v>0</v>
      </c>
      <c r="K352" s="338"/>
      <c r="L352" s="337"/>
      <c r="M352" s="337"/>
      <c r="BG352" s="196"/>
    </row>
    <row r="353" spans="2:59" hidden="1" x14ac:dyDescent="0.3">
      <c r="B353" s="151"/>
      <c r="H353" s="347"/>
      <c r="I353" s="348"/>
      <c r="J353" s="328">
        <f t="shared" si="57"/>
        <v>0</v>
      </c>
      <c r="K353" s="338"/>
      <c r="L353" s="337"/>
      <c r="M353" s="337"/>
      <c r="BG353" s="196"/>
    </row>
    <row r="354" spans="2:59" hidden="1" x14ac:dyDescent="0.3">
      <c r="B354" s="151"/>
      <c r="H354" s="349"/>
      <c r="I354" s="348"/>
      <c r="J354" s="328">
        <f t="shared" si="57"/>
        <v>0</v>
      </c>
      <c r="K354" s="338"/>
      <c r="L354" s="337"/>
      <c r="M354" s="337"/>
      <c r="BG354" s="196"/>
    </row>
    <row r="355" spans="2:59" hidden="1" x14ac:dyDescent="0.3">
      <c r="B355" s="151"/>
      <c r="H355" s="350"/>
      <c r="I355" s="348"/>
      <c r="J355" s="328">
        <f t="shared" si="57"/>
        <v>0</v>
      </c>
      <c r="K355" s="337"/>
      <c r="L355" s="337"/>
      <c r="M355" s="337"/>
      <c r="BG355" s="196"/>
    </row>
    <row r="356" spans="2:59" hidden="1" x14ac:dyDescent="0.3">
      <c r="B356" s="151"/>
      <c r="H356" s="351"/>
      <c r="I356" s="348"/>
      <c r="J356" s="328">
        <f t="shared" si="57"/>
        <v>0</v>
      </c>
      <c r="K356" s="337"/>
      <c r="L356" s="337"/>
      <c r="M356" s="337"/>
      <c r="BG356" s="196"/>
    </row>
    <row r="357" spans="2:59" hidden="1" x14ac:dyDescent="0.3">
      <c r="B357" s="151"/>
      <c r="H357" s="351"/>
      <c r="I357" s="348"/>
      <c r="J357" s="328">
        <f t="shared" si="57"/>
        <v>0</v>
      </c>
      <c r="K357" s="337"/>
      <c r="L357" s="337"/>
      <c r="M357" s="337"/>
      <c r="BG357" s="196"/>
    </row>
    <row r="358" spans="2:59" hidden="1" x14ac:dyDescent="0.3">
      <c r="B358" s="151"/>
      <c r="H358" s="351"/>
      <c r="I358" s="348"/>
      <c r="J358" s="335">
        <f t="shared" si="57"/>
        <v>0</v>
      </c>
      <c r="K358" s="352"/>
      <c r="L358" s="352"/>
      <c r="M358" s="352"/>
      <c r="BG358" s="196"/>
    </row>
    <row r="359" spans="2:59" hidden="1" x14ac:dyDescent="0.3">
      <c r="B359" s="151"/>
      <c r="H359" s="351"/>
      <c r="I359" s="348"/>
      <c r="J359" s="328">
        <f>K359+L359</f>
        <v>0</v>
      </c>
      <c r="K359" s="337"/>
      <c r="L359" s="337"/>
      <c r="M359" s="337"/>
      <c r="BG359" s="196"/>
    </row>
    <row r="360" spans="2:59" hidden="1" x14ac:dyDescent="0.3">
      <c r="B360" s="151"/>
      <c r="H360" s="351"/>
      <c r="I360" s="348"/>
      <c r="J360" s="353"/>
      <c r="BG360" s="196"/>
    </row>
    <row r="361" spans="2:59" hidden="1" x14ac:dyDescent="0.3">
      <c r="B361" s="151"/>
      <c r="I361" s="341"/>
      <c r="J361" s="353"/>
      <c r="BG361" s="196"/>
    </row>
    <row r="362" spans="2:59" x14ac:dyDescent="0.3">
      <c r="I362" s="341"/>
      <c r="J362" s="353"/>
      <c r="BG362" s="196"/>
    </row>
    <row r="363" spans="2:59" x14ac:dyDescent="0.3">
      <c r="I363" s="341"/>
      <c r="J363" s="353"/>
      <c r="BG363" s="196"/>
    </row>
    <row r="364" spans="2:59" x14ac:dyDescent="0.3">
      <c r="I364" s="341"/>
      <c r="J364" s="353"/>
      <c r="BG364" s="196"/>
    </row>
    <row r="365" spans="2:59" x14ac:dyDescent="0.3">
      <c r="G365" s="311" t="s">
        <v>19</v>
      </c>
      <c r="H365" s="391"/>
      <c r="I365" s="392"/>
      <c r="J365" s="423">
        <v>237068367.90000001</v>
      </c>
      <c r="K365" s="424">
        <v>118541926.81</v>
      </c>
      <c r="L365" s="424">
        <v>118526441.09</v>
      </c>
      <c r="M365" s="424">
        <v>117463841.09</v>
      </c>
      <c r="BG365" s="196"/>
    </row>
    <row r="366" spans="2:59" x14ac:dyDescent="0.3">
      <c r="G366" s="307"/>
      <c r="H366" s="393"/>
      <c r="I366" s="142"/>
      <c r="J366" s="425"/>
      <c r="K366" s="426"/>
      <c r="L366" s="427"/>
      <c r="M366" s="426"/>
      <c r="BG366" s="196"/>
    </row>
    <row r="367" spans="2:59" x14ac:dyDescent="0.3">
      <c r="G367" s="317" t="s">
        <v>6</v>
      </c>
      <c r="H367" s="394"/>
      <c r="I367" s="395"/>
      <c r="J367" s="428">
        <f>J365-J311</f>
        <v>22993414.789999992</v>
      </c>
      <c r="K367" s="428">
        <f>K365-K311</f>
        <v>8249219.9300000072</v>
      </c>
      <c r="L367" s="428">
        <f>L365-L311</f>
        <v>14744194.859999999</v>
      </c>
      <c r="M367" s="428">
        <f>M365-M311</f>
        <v>14744194.859999999</v>
      </c>
      <c r="BG367" s="196"/>
    </row>
    <row r="368" spans="2:59" x14ac:dyDescent="0.3">
      <c r="G368" s="297"/>
      <c r="H368" s="393"/>
      <c r="I368" s="142"/>
      <c r="J368" s="427"/>
      <c r="K368" s="427"/>
      <c r="L368" s="427"/>
      <c r="M368" s="429"/>
      <c r="BG368" s="196"/>
    </row>
    <row r="369" spans="7:59" x14ac:dyDescent="0.3">
      <c r="G369" s="322"/>
      <c r="H369" s="396" t="s">
        <v>176</v>
      </c>
      <c r="I369" s="397"/>
      <c r="J369" s="430">
        <f>J367+J370</f>
        <v>0</v>
      </c>
      <c r="K369" s="430">
        <f>K367+K370</f>
        <v>7.4505805969238281E-9</v>
      </c>
      <c r="L369" s="430">
        <f t="shared" ref="L369" si="58">L367+L370</f>
        <v>0</v>
      </c>
      <c r="M369" s="430">
        <f>M367+M370</f>
        <v>0</v>
      </c>
      <c r="BG369" s="196"/>
    </row>
    <row r="370" spans="7:59" x14ac:dyDescent="0.3">
      <c r="G370" s="297"/>
      <c r="H370" s="398" t="s">
        <v>23</v>
      </c>
      <c r="I370" s="399"/>
      <c r="J370" s="400">
        <f>K370+L370</f>
        <v>-22993414.790000003</v>
      </c>
      <c r="K370" s="400">
        <f>SUM(K371:K403)</f>
        <v>-8249219.9299999997</v>
      </c>
      <c r="L370" s="400">
        <f>SUM(L371:L403)</f>
        <v>-14744194.860000003</v>
      </c>
      <c r="M370" s="400">
        <f>SUM(M371:M403)</f>
        <v>-14744194.860000003</v>
      </c>
      <c r="BG370" s="196"/>
    </row>
    <row r="371" spans="7:59" x14ac:dyDescent="0.3">
      <c r="G371" s="297"/>
      <c r="H371" s="393"/>
      <c r="I371" s="401"/>
      <c r="J371" s="400">
        <f t="shared" ref="J371:J402" si="59">K371+L371</f>
        <v>-11383</v>
      </c>
      <c r="K371" s="402">
        <v>-11383</v>
      </c>
      <c r="L371" s="402"/>
      <c r="M371" s="402"/>
      <c r="BG371" s="196"/>
    </row>
    <row r="372" spans="7:59" x14ac:dyDescent="0.3">
      <c r="G372" s="297"/>
      <c r="H372" s="393"/>
      <c r="I372" s="403"/>
      <c r="J372" s="400">
        <f t="shared" si="59"/>
        <v>402934.4</v>
      </c>
      <c r="K372" s="402">
        <v>9935</v>
      </c>
      <c r="L372" s="402">
        <v>392999.4</v>
      </c>
      <c r="M372" s="402">
        <v>392999.4</v>
      </c>
      <c r="BG372" s="196"/>
    </row>
    <row r="373" spans="7:59" x14ac:dyDescent="0.3">
      <c r="G373" s="333"/>
      <c r="H373" s="404"/>
      <c r="I373" s="403"/>
      <c r="J373" s="400">
        <f t="shared" si="59"/>
        <v>1224335.04</v>
      </c>
      <c r="K373" s="402">
        <v>1060103.04</v>
      </c>
      <c r="L373" s="402">
        <v>164232</v>
      </c>
      <c r="M373" s="402">
        <v>164232</v>
      </c>
      <c r="BG373" s="196"/>
    </row>
    <row r="374" spans="7:59" x14ac:dyDescent="0.3">
      <c r="G374" s="333"/>
      <c r="H374" s="404"/>
      <c r="I374" s="403"/>
      <c r="J374" s="400">
        <f t="shared" si="59"/>
        <v>70874</v>
      </c>
      <c r="K374" s="402">
        <v>26600</v>
      </c>
      <c r="L374" s="402">
        <v>44274</v>
      </c>
      <c r="M374" s="402">
        <v>44274</v>
      </c>
      <c r="BG374" s="196"/>
    </row>
    <row r="375" spans="7:59" x14ac:dyDescent="0.3">
      <c r="G375" s="515" t="s">
        <v>295</v>
      </c>
      <c r="H375" s="536">
        <f>+L355-L236-M355</f>
        <v>0</v>
      </c>
      <c r="I375" s="403"/>
      <c r="J375" s="405">
        <f t="shared" si="59"/>
        <v>149200</v>
      </c>
      <c r="K375" s="402">
        <v>99800</v>
      </c>
      <c r="L375" s="402">
        <v>49400</v>
      </c>
      <c r="M375" s="402">
        <v>49400</v>
      </c>
      <c r="BG375" s="196"/>
    </row>
    <row r="376" spans="7:59" x14ac:dyDescent="0.3">
      <c r="G376" s="516"/>
      <c r="H376" s="537"/>
      <c r="I376" s="406"/>
      <c r="J376" s="400">
        <f t="shared" si="59"/>
        <v>-79952</v>
      </c>
      <c r="K376" s="407">
        <v>-202415</v>
      </c>
      <c r="L376" s="408">
        <v>122463</v>
      </c>
      <c r="M376" s="408">
        <v>122463</v>
      </c>
      <c r="BG376" s="196"/>
    </row>
    <row r="377" spans="7:59" x14ac:dyDescent="0.3">
      <c r="G377" s="517"/>
      <c r="H377" s="538"/>
      <c r="I377" s="406"/>
      <c r="J377" s="400">
        <f t="shared" si="59"/>
        <v>-74880</v>
      </c>
      <c r="K377" s="407">
        <v>-99800</v>
      </c>
      <c r="L377" s="408">
        <v>24920</v>
      </c>
      <c r="M377" s="408">
        <v>24920</v>
      </c>
      <c r="BG377" s="196"/>
    </row>
    <row r="378" spans="7:59" x14ac:dyDescent="0.3">
      <c r="G378" s="333"/>
      <c r="H378" s="404"/>
      <c r="I378" s="539"/>
      <c r="J378" s="400">
        <f t="shared" si="59"/>
        <v>0</v>
      </c>
      <c r="K378" s="407">
        <f>39680+185609</f>
        <v>225289</v>
      </c>
      <c r="L378" s="408">
        <v>-225289</v>
      </c>
      <c r="M378" s="408">
        <v>-225289</v>
      </c>
      <c r="BG378" s="196"/>
    </row>
    <row r="379" spans="7:59" x14ac:dyDescent="0.3">
      <c r="G379" s="297"/>
      <c r="H379" s="9"/>
      <c r="I379" s="539"/>
      <c r="J379" s="400">
        <f t="shared" si="59"/>
        <v>-164178</v>
      </c>
      <c r="K379" s="407">
        <v>-164178</v>
      </c>
      <c r="L379" s="407"/>
      <c r="M379" s="407"/>
      <c r="BG379" s="196"/>
    </row>
    <row r="380" spans="7:59" x14ac:dyDescent="0.3">
      <c r="H380" s="409"/>
      <c r="I380" s="539"/>
      <c r="J380" s="400">
        <f t="shared" si="59"/>
        <v>-23558260.789999999</v>
      </c>
      <c r="K380" s="407">
        <v>-16616</v>
      </c>
      <c r="L380" s="408">
        <v>-23541644.789999999</v>
      </c>
      <c r="M380" s="408">
        <v>-23541644.789999999</v>
      </c>
      <c r="BG380" s="196"/>
    </row>
    <row r="381" spans="7:59" x14ac:dyDescent="0.3">
      <c r="H381" s="410"/>
      <c r="I381" s="539"/>
      <c r="J381" s="400">
        <f t="shared" si="59"/>
        <v>49900</v>
      </c>
      <c r="K381" s="407">
        <v>49900</v>
      </c>
      <c r="L381" s="408"/>
      <c r="M381" s="408"/>
      <c r="BG381" s="196"/>
    </row>
    <row r="382" spans="7:59" x14ac:dyDescent="0.3">
      <c r="H382" s="410"/>
      <c r="I382" s="539"/>
      <c r="J382" s="400">
        <f t="shared" si="59"/>
        <v>-1938804.44</v>
      </c>
      <c r="K382" s="407">
        <v>-1938804.44</v>
      </c>
      <c r="L382" s="408"/>
      <c r="M382" s="408"/>
      <c r="BG382" s="196"/>
    </row>
    <row r="383" spans="7:59" x14ac:dyDescent="0.3">
      <c r="H383" s="410"/>
      <c r="I383" s="411"/>
      <c r="J383" s="400">
        <f t="shared" si="59"/>
        <v>0</v>
      </c>
      <c r="K383" s="407">
        <v>-2030016</v>
      </c>
      <c r="L383" s="408">
        <v>2030016</v>
      </c>
      <c r="M383" s="408">
        <v>2030016</v>
      </c>
      <c r="BG383" s="196"/>
    </row>
    <row r="384" spans="7:59" x14ac:dyDescent="0.3">
      <c r="H384" s="412"/>
      <c r="I384" s="406"/>
      <c r="J384" s="400">
        <f t="shared" si="59"/>
        <v>99800</v>
      </c>
      <c r="K384" s="407">
        <v>99800</v>
      </c>
      <c r="L384" s="408"/>
      <c r="M384" s="408"/>
      <c r="BG384" s="196"/>
    </row>
    <row r="385" spans="8:59" x14ac:dyDescent="0.3">
      <c r="H385" s="410"/>
      <c r="I385" s="411"/>
      <c r="J385" s="400">
        <f t="shared" si="59"/>
        <v>-163000</v>
      </c>
      <c r="K385" s="407">
        <v>-163000</v>
      </c>
      <c r="L385" s="408"/>
      <c r="M385" s="408"/>
      <c r="BG385" s="196"/>
    </row>
    <row r="386" spans="8:59" x14ac:dyDescent="0.3">
      <c r="H386" s="410"/>
      <c r="I386" s="411"/>
      <c r="J386" s="400">
        <f t="shared" si="59"/>
        <v>-6112943.5300000003</v>
      </c>
      <c r="K386" s="407">
        <f>-1955722.53-520232</f>
        <v>-2475954.5300000003</v>
      </c>
      <c r="L386" s="408">
        <v>-3636989</v>
      </c>
      <c r="M386" s="408">
        <v>-3636989</v>
      </c>
      <c r="BG386" s="196"/>
    </row>
    <row r="387" spans="8:59" x14ac:dyDescent="0.3">
      <c r="H387" s="410"/>
      <c r="I387" s="411"/>
      <c r="J387" s="400">
        <f t="shared" si="59"/>
        <v>-330291.01</v>
      </c>
      <c r="K387" s="407">
        <v>-175000</v>
      </c>
      <c r="L387" s="408">
        <v>-155291.01</v>
      </c>
      <c r="M387" s="408">
        <v>-155291.01</v>
      </c>
      <c r="BG387" s="196"/>
    </row>
    <row r="388" spans="8:59" x14ac:dyDescent="0.3">
      <c r="H388" s="410"/>
      <c r="I388" s="413"/>
      <c r="J388" s="414">
        <f t="shared" si="59"/>
        <v>-1900000</v>
      </c>
      <c r="K388" s="415">
        <v>-1600000</v>
      </c>
      <c r="L388" s="407">
        <v>-300000</v>
      </c>
      <c r="M388" s="407">
        <v>-300000</v>
      </c>
      <c r="BG388" s="196"/>
    </row>
    <row r="389" spans="8:59" x14ac:dyDescent="0.3">
      <c r="H389" s="416"/>
      <c r="I389" s="413"/>
      <c r="J389" s="400">
        <f t="shared" si="59"/>
        <v>-1293480</v>
      </c>
      <c r="K389" s="407">
        <v>-543480</v>
      </c>
      <c r="L389" s="407">
        <v>-750000</v>
      </c>
      <c r="M389" s="407">
        <v>-750000</v>
      </c>
      <c r="BG389" s="196"/>
    </row>
    <row r="390" spans="8:59" x14ac:dyDescent="0.3">
      <c r="H390" s="416"/>
      <c r="I390" s="413"/>
      <c r="J390" s="400">
        <f t="shared" si="59"/>
        <v>600000</v>
      </c>
      <c r="K390" s="407">
        <v>-400000</v>
      </c>
      <c r="L390" s="407">
        <v>1000000</v>
      </c>
      <c r="M390" s="407">
        <v>1000000</v>
      </c>
      <c r="BG390" s="196"/>
    </row>
    <row r="391" spans="8:59" x14ac:dyDescent="0.3">
      <c r="H391" s="416"/>
      <c r="I391" s="413"/>
      <c r="J391" s="400">
        <f t="shared" si="59"/>
        <v>9927251.5399999991</v>
      </c>
      <c r="K391" s="407"/>
      <c r="L391" s="407">
        <v>9927251.5399999991</v>
      </c>
      <c r="M391" s="407">
        <v>9927251.5399999991</v>
      </c>
      <c r="BG391" s="196"/>
    </row>
    <row r="392" spans="8:59" x14ac:dyDescent="0.3">
      <c r="H392" s="416"/>
      <c r="I392" s="413"/>
      <c r="J392" s="400">
        <f t="shared" si="59"/>
        <v>109463</v>
      </c>
      <c r="K392" s="407"/>
      <c r="L392" s="407">
        <v>109463</v>
      </c>
      <c r="M392" s="407">
        <v>109463</v>
      </c>
      <c r="BG392" s="196"/>
    </row>
    <row r="393" spans="8:59" x14ac:dyDescent="0.3">
      <c r="H393" s="416"/>
      <c r="I393" s="413"/>
      <c r="J393" s="400">
        <f t="shared" si="59"/>
        <v>0</v>
      </c>
      <c r="K393" s="407"/>
      <c r="L393" s="407"/>
      <c r="M393" s="407"/>
      <c r="BG393" s="196"/>
    </row>
    <row r="394" spans="8:59" x14ac:dyDescent="0.3">
      <c r="H394" s="416"/>
      <c r="I394" s="411"/>
      <c r="J394" s="400">
        <f t="shared" si="59"/>
        <v>0</v>
      </c>
      <c r="K394" s="408"/>
      <c r="L394" s="407"/>
      <c r="M394" s="407"/>
      <c r="BG394" s="196"/>
    </row>
    <row r="395" spans="8:59" x14ac:dyDescent="0.3">
      <c r="H395" s="416"/>
      <c r="I395" s="540"/>
      <c r="J395" s="400">
        <f t="shared" si="59"/>
        <v>0</v>
      </c>
      <c r="K395" s="408"/>
      <c r="L395" s="407"/>
      <c r="M395" s="407"/>
      <c r="BG395" s="196"/>
    </row>
    <row r="396" spans="8:59" x14ac:dyDescent="0.3">
      <c r="H396" s="416"/>
      <c r="I396" s="540"/>
      <c r="J396" s="400">
        <f t="shared" si="59"/>
        <v>0</v>
      </c>
      <c r="K396" s="408"/>
      <c r="L396" s="407"/>
      <c r="M396" s="407"/>
      <c r="BG396" s="196"/>
    </row>
    <row r="397" spans="8:59" x14ac:dyDescent="0.3">
      <c r="H397" s="417"/>
      <c r="I397" s="418"/>
      <c r="J397" s="400">
        <f t="shared" si="59"/>
        <v>0</v>
      </c>
      <c r="K397" s="408"/>
      <c r="L397" s="407"/>
      <c r="M397" s="407"/>
      <c r="BG397" s="196"/>
    </row>
    <row r="398" spans="8:59" x14ac:dyDescent="0.3">
      <c r="H398" s="419"/>
      <c r="I398" s="418"/>
      <c r="J398" s="400">
        <f t="shared" si="59"/>
        <v>0</v>
      </c>
      <c r="K398" s="408"/>
      <c r="L398" s="407"/>
      <c r="M398" s="407"/>
      <c r="BG398" s="196"/>
    </row>
    <row r="399" spans="8:59" x14ac:dyDescent="0.3">
      <c r="H399" s="420"/>
      <c r="I399" s="418"/>
      <c r="J399" s="400">
        <f t="shared" si="59"/>
        <v>0</v>
      </c>
      <c r="K399" s="407"/>
      <c r="L399" s="407"/>
      <c r="M399" s="407"/>
      <c r="BG399" s="196"/>
    </row>
    <row r="400" spans="8:59" x14ac:dyDescent="0.3">
      <c r="H400" s="421"/>
      <c r="I400" s="418"/>
      <c r="J400" s="400">
        <f t="shared" si="59"/>
        <v>0</v>
      </c>
      <c r="K400" s="407"/>
      <c r="L400" s="407"/>
      <c r="M400" s="407"/>
      <c r="BG400" s="196"/>
    </row>
    <row r="401" spans="8:59" x14ac:dyDescent="0.3">
      <c r="H401" s="421"/>
      <c r="I401" s="418"/>
      <c r="J401" s="400">
        <f t="shared" si="59"/>
        <v>0</v>
      </c>
      <c r="K401" s="407"/>
      <c r="L401" s="407"/>
      <c r="M401" s="407"/>
      <c r="BG401" s="196"/>
    </row>
    <row r="402" spans="8:59" x14ac:dyDescent="0.3">
      <c r="H402" s="421"/>
      <c r="I402" s="418"/>
      <c r="J402" s="405">
        <f t="shared" si="59"/>
        <v>0</v>
      </c>
      <c r="K402" s="422"/>
      <c r="L402" s="422"/>
      <c r="M402" s="422"/>
      <c r="BG402" s="196"/>
    </row>
    <row r="403" spans="8:59" x14ac:dyDescent="0.3">
      <c r="H403" s="421"/>
      <c r="I403" s="418"/>
      <c r="J403" s="400">
        <f>K403+L403</f>
        <v>0</v>
      </c>
      <c r="K403" s="407"/>
      <c r="L403" s="407"/>
      <c r="M403" s="407"/>
      <c r="BG403" s="196"/>
    </row>
    <row r="404" spans="8:59" x14ac:dyDescent="0.3">
      <c r="J404" s="353"/>
      <c r="BG404" s="196"/>
    </row>
    <row r="405" spans="8:59" x14ac:dyDescent="0.3">
      <c r="J405" s="353"/>
      <c r="BG405" s="196"/>
    </row>
    <row r="406" spans="8:59" x14ac:dyDescent="0.3">
      <c r="J406" s="353"/>
      <c r="BG406" s="196"/>
    </row>
    <row r="407" spans="8:59" x14ac:dyDescent="0.3">
      <c r="J407" s="353"/>
      <c r="BG407" s="196"/>
    </row>
    <row r="408" spans="8:59" x14ac:dyDescent="0.3">
      <c r="J408" s="353"/>
      <c r="BG408" s="196"/>
    </row>
    <row r="409" spans="8:59" x14ac:dyDescent="0.3">
      <c r="J409" s="353"/>
      <c r="BG409" s="196"/>
    </row>
    <row r="410" spans="8:59" x14ac:dyDescent="0.3">
      <c r="BG410" s="196"/>
    </row>
    <row r="411" spans="8:59" x14ac:dyDescent="0.3">
      <c r="BG411" s="196"/>
    </row>
    <row r="412" spans="8:59" x14ac:dyDescent="0.3">
      <c r="BG412" s="196"/>
    </row>
    <row r="413" spans="8:59" x14ac:dyDescent="0.3">
      <c r="BG413" s="196"/>
    </row>
    <row r="414" spans="8:59" x14ac:dyDescent="0.3">
      <c r="BG414" s="196"/>
    </row>
    <row r="415" spans="8:59" x14ac:dyDescent="0.3">
      <c r="BG415" s="196"/>
    </row>
    <row r="416" spans="8:59" x14ac:dyDescent="0.3">
      <c r="BG416" s="196"/>
    </row>
    <row r="417" spans="59:59" x14ac:dyDescent="0.3">
      <c r="BG417" s="196"/>
    </row>
    <row r="418" spans="59:59" x14ac:dyDescent="0.3">
      <c r="BG418" s="196"/>
    </row>
    <row r="419" spans="59:59" x14ac:dyDescent="0.3">
      <c r="BG419" s="196"/>
    </row>
    <row r="420" spans="59:59" x14ac:dyDescent="0.3">
      <c r="BG420" s="196"/>
    </row>
    <row r="421" spans="59:59" x14ac:dyDescent="0.3">
      <c r="BG421" s="196"/>
    </row>
    <row r="422" spans="59:59" x14ac:dyDescent="0.3">
      <c r="BG422" s="196"/>
    </row>
    <row r="423" spans="59:59" x14ac:dyDescent="0.3">
      <c r="BG423" s="196"/>
    </row>
    <row r="424" spans="59:59" x14ac:dyDescent="0.3">
      <c r="BG424" s="196"/>
    </row>
    <row r="425" spans="59:59" x14ac:dyDescent="0.3">
      <c r="BG425" s="196"/>
    </row>
    <row r="426" spans="59:59" x14ac:dyDescent="0.3">
      <c r="BG426" s="196"/>
    </row>
    <row r="427" spans="59:59" x14ac:dyDescent="0.3">
      <c r="BG427" s="196"/>
    </row>
    <row r="428" spans="59:59" x14ac:dyDescent="0.3">
      <c r="BG428" s="196"/>
    </row>
    <row r="429" spans="59:59" x14ac:dyDescent="0.3">
      <c r="BG429" s="196"/>
    </row>
    <row r="430" spans="59:59" x14ac:dyDescent="0.3">
      <c r="BG430" s="196"/>
    </row>
    <row r="431" spans="59:59" x14ac:dyDescent="0.3">
      <c r="BG431" s="196"/>
    </row>
    <row r="432" spans="59:59" x14ac:dyDescent="0.3">
      <c r="BG432" s="196"/>
    </row>
    <row r="433" spans="59:59" x14ac:dyDescent="0.3">
      <c r="BG433" s="196"/>
    </row>
    <row r="434" spans="59:59" x14ac:dyDescent="0.3">
      <c r="BG434" s="196"/>
    </row>
    <row r="435" spans="59:59" x14ac:dyDescent="0.3">
      <c r="BG435" s="196"/>
    </row>
    <row r="436" spans="59:59" x14ac:dyDescent="0.3">
      <c r="BG436" s="196"/>
    </row>
    <row r="437" spans="59:59" x14ac:dyDescent="0.3">
      <c r="BG437" s="196"/>
    </row>
    <row r="438" spans="59:59" x14ac:dyDescent="0.3">
      <c r="BG438" s="196"/>
    </row>
    <row r="439" spans="59:59" x14ac:dyDescent="0.3">
      <c r="BG439" s="196"/>
    </row>
    <row r="440" spans="59:59" x14ac:dyDescent="0.3">
      <c r="BG440" s="196"/>
    </row>
    <row r="441" spans="59:59" x14ac:dyDescent="0.3">
      <c r="BG441" s="196"/>
    </row>
    <row r="442" spans="59:59" x14ac:dyDescent="0.3">
      <c r="BG442" s="196"/>
    </row>
    <row r="443" spans="59:59" x14ac:dyDescent="0.3">
      <c r="BG443" s="196"/>
    </row>
    <row r="444" spans="59:59" x14ac:dyDescent="0.3">
      <c r="BG444" s="196"/>
    </row>
    <row r="445" spans="59:59" x14ac:dyDescent="0.3">
      <c r="BG445" s="196"/>
    </row>
    <row r="446" spans="59:59" x14ac:dyDescent="0.3">
      <c r="BG446" s="196"/>
    </row>
    <row r="447" spans="59:59" x14ac:dyDescent="0.3">
      <c r="BG447" s="196"/>
    </row>
    <row r="448" spans="59:59" x14ac:dyDescent="0.3">
      <c r="BG448" s="196"/>
    </row>
    <row r="449" spans="59:59" x14ac:dyDescent="0.3">
      <c r="BG449" s="196"/>
    </row>
    <row r="450" spans="59:59" x14ac:dyDescent="0.3">
      <c r="BG450" s="196"/>
    </row>
    <row r="451" spans="59:59" x14ac:dyDescent="0.3">
      <c r="BG451" s="196"/>
    </row>
    <row r="452" spans="59:59" x14ac:dyDescent="0.3">
      <c r="BG452" s="196"/>
    </row>
    <row r="453" spans="59:59" x14ac:dyDescent="0.3">
      <c r="BG453" s="196"/>
    </row>
    <row r="454" spans="59:59" x14ac:dyDescent="0.3">
      <c r="BG454" s="196"/>
    </row>
    <row r="455" spans="59:59" x14ac:dyDescent="0.3">
      <c r="BG455" s="196"/>
    </row>
    <row r="456" spans="59:59" x14ac:dyDescent="0.3">
      <c r="BG456" s="196"/>
    </row>
    <row r="457" spans="59:59" x14ac:dyDescent="0.3">
      <c r="BG457" s="196"/>
    </row>
    <row r="458" spans="59:59" x14ac:dyDescent="0.3">
      <c r="BG458" s="196"/>
    </row>
    <row r="459" spans="59:59" x14ac:dyDescent="0.3">
      <c r="BG459" s="196"/>
    </row>
    <row r="460" spans="59:59" x14ac:dyDescent="0.3">
      <c r="BG460" s="196"/>
    </row>
    <row r="461" spans="59:59" x14ac:dyDescent="0.3">
      <c r="BG461" s="196"/>
    </row>
    <row r="462" spans="59:59" x14ac:dyDescent="0.3">
      <c r="BG462" s="196"/>
    </row>
    <row r="463" spans="59:59" x14ac:dyDescent="0.3">
      <c r="BG463" s="196"/>
    </row>
    <row r="464" spans="59:59" x14ac:dyDescent="0.3">
      <c r="BG464" s="196"/>
    </row>
    <row r="465" spans="59:59" x14ac:dyDescent="0.3">
      <c r="BG465" s="196"/>
    </row>
    <row r="466" spans="59:59" x14ac:dyDescent="0.3">
      <c r="BG466" s="196"/>
    </row>
    <row r="467" spans="59:59" x14ac:dyDescent="0.3">
      <c r="BG467" s="196"/>
    </row>
    <row r="468" spans="59:59" x14ac:dyDescent="0.3">
      <c r="BG468" s="196"/>
    </row>
    <row r="469" spans="59:59" x14ac:dyDescent="0.3">
      <c r="BG469" s="196"/>
    </row>
    <row r="470" spans="59:59" x14ac:dyDescent="0.3">
      <c r="BG470" s="196"/>
    </row>
    <row r="471" spans="59:59" x14ac:dyDescent="0.3">
      <c r="BG471" s="196"/>
    </row>
    <row r="472" spans="59:59" x14ac:dyDescent="0.3">
      <c r="BG472" s="196"/>
    </row>
    <row r="473" spans="59:59" x14ac:dyDescent="0.3">
      <c r="BG473" s="196"/>
    </row>
    <row r="474" spans="59:59" x14ac:dyDescent="0.3">
      <c r="BG474" s="196"/>
    </row>
    <row r="475" spans="59:59" x14ac:dyDescent="0.3">
      <c r="BG475" s="196"/>
    </row>
    <row r="476" spans="59:59" x14ac:dyDescent="0.3">
      <c r="BG476" s="196"/>
    </row>
    <row r="477" spans="59:59" x14ac:dyDescent="0.3">
      <c r="BG477" s="196"/>
    </row>
    <row r="478" spans="59:59" x14ac:dyDescent="0.3">
      <c r="BG478" s="196"/>
    </row>
    <row r="479" spans="59:59" x14ac:dyDescent="0.3">
      <c r="BG479" s="196"/>
    </row>
    <row r="480" spans="59:59" x14ac:dyDescent="0.3">
      <c r="BG480" s="196"/>
    </row>
    <row r="481" spans="59:59" x14ac:dyDescent="0.3">
      <c r="BG481" s="196"/>
    </row>
    <row r="482" spans="59:59" x14ac:dyDescent="0.3">
      <c r="BG482" s="196"/>
    </row>
    <row r="483" spans="59:59" x14ac:dyDescent="0.3">
      <c r="BG483" s="196"/>
    </row>
    <row r="484" spans="59:59" x14ac:dyDescent="0.3">
      <c r="BG484" s="196"/>
    </row>
    <row r="485" spans="59:59" x14ac:dyDescent="0.3">
      <c r="BG485" s="196"/>
    </row>
    <row r="486" spans="59:59" x14ac:dyDescent="0.3">
      <c r="BG486" s="196"/>
    </row>
    <row r="487" spans="59:59" x14ac:dyDescent="0.3">
      <c r="BG487" s="196"/>
    </row>
    <row r="488" spans="59:59" x14ac:dyDescent="0.3">
      <c r="BG488" s="196"/>
    </row>
    <row r="489" spans="59:59" x14ac:dyDescent="0.3">
      <c r="BG489" s="196"/>
    </row>
    <row r="490" spans="59:59" x14ac:dyDescent="0.3">
      <c r="BG490" s="196"/>
    </row>
    <row r="491" spans="59:59" x14ac:dyDescent="0.3">
      <c r="BG491" s="196"/>
    </row>
    <row r="492" spans="59:59" x14ac:dyDescent="0.3">
      <c r="BG492" s="196"/>
    </row>
    <row r="493" spans="59:59" x14ac:dyDescent="0.3">
      <c r="BG493" s="196"/>
    </row>
    <row r="494" spans="59:59" x14ac:dyDescent="0.3">
      <c r="BG494" s="196"/>
    </row>
    <row r="495" spans="59:59" x14ac:dyDescent="0.3">
      <c r="BG495" s="196"/>
    </row>
    <row r="496" spans="59:59" x14ac:dyDescent="0.3">
      <c r="BG496" s="196"/>
    </row>
    <row r="497" spans="59:59" x14ac:dyDescent="0.3">
      <c r="BG497" s="196"/>
    </row>
    <row r="498" spans="59:59" x14ac:dyDescent="0.3">
      <c r="BG498" s="196"/>
    </row>
    <row r="499" spans="59:59" x14ac:dyDescent="0.3">
      <c r="BG499" s="196"/>
    </row>
    <row r="500" spans="59:59" x14ac:dyDescent="0.3">
      <c r="BG500" s="196"/>
    </row>
    <row r="501" spans="59:59" x14ac:dyDescent="0.3">
      <c r="BG501" s="196"/>
    </row>
    <row r="502" spans="59:59" x14ac:dyDescent="0.3">
      <c r="BG502" s="196"/>
    </row>
    <row r="503" spans="59:59" x14ac:dyDescent="0.3">
      <c r="BG503" s="196"/>
    </row>
    <row r="504" spans="59:59" x14ac:dyDescent="0.3">
      <c r="BG504" s="196"/>
    </row>
    <row r="505" spans="59:59" x14ac:dyDescent="0.3">
      <c r="BG505" s="196"/>
    </row>
    <row r="506" spans="59:59" x14ac:dyDescent="0.3">
      <c r="BG506" s="196"/>
    </row>
    <row r="507" spans="59:59" x14ac:dyDescent="0.3">
      <c r="BG507" s="196"/>
    </row>
    <row r="508" spans="59:59" x14ac:dyDescent="0.3">
      <c r="BG508" s="196"/>
    </row>
    <row r="509" spans="59:59" x14ac:dyDescent="0.3">
      <c r="BG509" s="196"/>
    </row>
    <row r="510" spans="59:59" x14ac:dyDescent="0.3">
      <c r="BG510" s="196"/>
    </row>
    <row r="511" spans="59:59" x14ac:dyDescent="0.3">
      <c r="BG511" s="196"/>
    </row>
    <row r="512" spans="59:59" x14ac:dyDescent="0.3">
      <c r="BG512" s="196"/>
    </row>
    <row r="513" spans="59:59" x14ac:dyDescent="0.3">
      <c r="BG513" s="196"/>
    </row>
    <row r="514" spans="59:59" x14ac:dyDescent="0.3">
      <c r="BG514" s="196"/>
    </row>
    <row r="515" spans="59:59" x14ac:dyDescent="0.3">
      <c r="BG515" s="196"/>
    </row>
    <row r="516" spans="59:59" x14ac:dyDescent="0.3">
      <c r="BG516" s="196"/>
    </row>
    <row r="517" spans="59:59" x14ac:dyDescent="0.3">
      <c r="BG517" s="196"/>
    </row>
    <row r="518" spans="59:59" x14ac:dyDescent="0.3">
      <c r="BG518" s="196"/>
    </row>
    <row r="519" spans="59:59" x14ac:dyDescent="0.3">
      <c r="BG519" s="196"/>
    </row>
    <row r="520" spans="59:59" x14ac:dyDescent="0.3">
      <c r="BG520" s="196"/>
    </row>
    <row r="521" spans="59:59" x14ac:dyDescent="0.3">
      <c r="BG521" s="196"/>
    </row>
    <row r="522" spans="59:59" x14ac:dyDescent="0.3">
      <c r="BG522" s="196"/>
    </row>
    <row r="523" spans="59:59" x14ac:dyDescent="0.3">
      <c r="BG523" s="196"/>
    </row>
    <row r="524" spans="59:59" x14ac:dyDescent="0.3">
      <c r="BG524" s="196"/>
    </row>
    <row r="525" spans="59:59" x14ac:dyDescent="0.3">
      <c r="BG525" s="196"/>
    </row>
    <row r="526" spans="59:59" x14ac:dyDescent="0.3">
      <c r="BG526" s="196"/>
    </row>
    <row r="527" spans="59:59" x14ac:dyDescent="0.3">
      <c r="BG527" s="196"/>
    </row>
    <row r="528" spans="59:59" x14ac:dyDescent="0.3">
      <c r="BG528" s="196"/>
    </row>
    <row r="529" spans="59:59" x14ac:dyDescent="0.3">
      <c r="BG529" s="196"/>
    </row>
    <row r="530" spans="59:59" x14ac:dyDescent="0.3">
      <c r="BG530" s="196"/>
    </row>
    <row r="531" spans="59:59" x14ac:dyDescent="0.3">
      <c r="BG531" s="196"/>
    </row>
    <row r="532" spans="59:59" x14ac:dyDescent="0.3">
      <c r="BG532" s="196"/>
    </row>
    <row r="533" spans="59:59" x14ac:dyDescent="0.3">
      <c r="BG533" s="196"/>
    </row>
    <row r="534" spans="59:59" x14ac:dyDescent="0.3">
      <c r="BG534" s="196"/>
    </row>
    <row r="535" spans="59:59" x14ac:dyDescent="0.3">
      <c r="BG535" s="196"/>
    </row>
    <row r="536" spans="59:59" x14ac:dyDescent="0.3">
      <c r="BG536" s="196"/>
    </row>
    <row r="537" spans="59:59" x14ac:dyDescent="0.3">
      <c r="BG537" s="196"/>
    </row>
    <row r="538" spans="59:59" x14ac:dyDescent="0.3">
      <c r="BG538" s="196"/>
    </row>
    <row r="539" spans="59:59" x14ac:dyDescent="0.3">
      <c r="BG539" s="196"/>
    </row>
    <row r="540" spans="59:59" x14ac:dyDescent="0.3">
      <c r="BG540" s="196"/>
    </row>
    <row r="541" spans="59:59" x14ac:dyDescent="0.3">
      <c r="BG541" s="196"/>
    </row>
    <row r="542" spans="59:59" x14ac:dyDescent="0.3">
      <c r="BG542" s="196"/>
    </row>
    <row r="543" spans="59:59" x14ac:dyDescent="0.3">
      <c r="BG543" s="196"/>
    </row>
    <row r="544" spans="59:59" x14ac:dyDescent="0.3">
      <c r="BG544" s="196"/>
    </row>
    <row r="545" spans="59:59" x14ac:dyDescent="0.3">
      <c r="BG545" s="196"/>
    </row>
    <row r="546" spans="59:59" x14ac:dyDescent="0.3">
      <c r="BG546" s="196"/>
    </row>
    <row r="547" spans="59:59" x14ac:dyDescent="0.3">
      <c r="BG547" s="196"/>
    </row>
    <row r="548" spans="59:59" x14ac:dyDescent="0.3">
      <c r="BG548" s="196"/>
    </row>
    <row r="549" spans="59:59" x14ac:dyDescent="0.3">
      <c r="BG549" s="196"/>
    </row>
  </sheetData>
  <autoFilter ref="A6:AL319">
    <filterColumn colId="0">
      <customFilters>
        <customFilter operator="notEqual" val=" "/>
      </customFilters>
    </filterColumn>
  </autoFilter>
  <mergeCells count="20">
    <mergeCell ref="G375:G377"/>
    <mergeCell ref="H375:H377"/>
    <mergeCell ref="I378:I382"/>
    <mergeCell ref="I395:I396"/>
    <mergeCell ref="I351:I352"/>
    <mergeCell ref="N5:AK5"/>
    <mergeCell ref="D311:G311"/>
    <mergeCell ref="I5:I6"/>
    <mergeCell ref="J5:J6"/>
    <mergeCell ref="L5:M5"/>
    <mergeCell ref="I334:I338"/>
    <mergeCell ref="H331:H333"/>
    <mergeCell ref="G331:G333"/>
    <mergeCell ref="D1:M1"/>
    <mergeCell ref="F5:F6"/>
    <mergeCell ref="H5:H6"/>
    <mergeCell ref="K5:K6"/>
    <mergeCell ref="D5:D6"/>
    <mergeCell ref="G5:G6"/>
    <mergeCell ref="E5:E6"/>
  </mergeCells>
  <phoneticPr fontId="4" type="noConversion"/>
  <pageMargins left="1.1811023622047245" right="0.39370078740157483" top="1.3779527559055118" bottom="0.78740157480314965" header="0.78740157480314965" footer="0.51181102362204722"/>
  <pageSetup paperSize="9" scale="31" fitToHeight="4" orientation="portrait" blackAndWhite="1" r:id="rId1"/>
  <headerFooter differentFirst="1">
    <oddHeader>&amp;C&amp;"Times New Roman,обычный"&amp;14&amp;P&amp;R&amp;"Times New Roman,обычный"&amp;14Продовження додатку 6</oddHeader>
    <oddFooter>&amp;R&amp;P</oddFooter>
    <firstHeader>&amp;R&amp;"Times New Roman,обычный"&amp;24Додаток 6
до рішення міської ради
від __________________ №_____</firstHeader>
  </headerFooter>
  <rowBreaks count="3" manualBreakCount="3">
    <brk id="67" min="2" max="12" man="1"/>
    <brk id="137" min="2" max="12" man="1"/>
    <brk id="226" min="2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GorFo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User</cp:lastModifiedBy>
  <cp:lastPrinted>2021-12-09T05:26:40Z</cp:lastPrinted>
  <dcterms:created xsi:type="dcterms:W3CDTF">2008-06-19T08:03:43Z</dcterms:created>
  <dcterms:modified xsi:type="dcterms:W3CDTF">2021-12-20T06:26:14Z</dcterms:modified>
</cp:coreProperties>
</file>