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5195" windowHeight="11640" tabRatio="454"/>
  </bookViews>
  <sheets>
    <sheet name="Лист1" sheetId="1" r:id="rId1"/>
  </sheets>
  <definedNames>
    <definedName name="_xlnm._FilterDatabase" localSheetId="0" hidden="1">Лист1!$A$6:$AL$315</definedName>
    <definedName name="_xlnm.Print_Titles" localSheetId="0">Лист1!$7:$7</definedName>
    <definedName name="_xlnm.Print_Area" localSheetId="0">Лист1!$C$1:$M$315</definedName>
  </definedNames>
  <calcPr calcId="145621"/>
</workbook>
</file>

<file path=xl/calcChain.xml><?xml version="1.0" encoding="utf-8"?>
<calcChain xmlns="http://schemas.openxmlformats.org/spreadsheetml/2006/main">
  <c r="K366" i="1" l="1"/>
  <c r="K173" i="1" l="1"/>
  <c r="L278" i="1" l="1"/>
  <c r="M105" i="1"/>
  <c r="L105" i="1"/>
  <c r="K84" i="1"/>
  <c r="K48" i="1"/>
  <c r="K11" i="1"/>
  <c r="K12" i="1"/>
  <c r="L270" i="1" l="1"/>
  <c r="L269" i="1" s="1"/>
  <c r="K208" i="1" l="1"/>
  <c r="M186" i="1"/>
  <c r="M185" i="1" s="1"/>
  <c r="M184" i="1" s="1"/>
  <c r="K186" i="1"/>
  <c r="K185" i="1" s="1"/>
  <c r="K184" i="1" s="1"/>
  <c r="L186" i="1"/>
  <c r="J187" i="1"/>
  <c r="A187" i="1" s="1"/>
  <c r="J186" i="1" l="1"/>
  <c r="M222" i="1"/>
  <c r="L222" i="1"/>
  <c r="M288" i="1" l="1"/>
  <c r="L288" i="1"/>
  <c r="M295" i="1"/>
  <c r="L295" i="1"/>
  <c r="J302" i="1" l="1"/>
  <c r="A302" i="1" s="1"/>
  <c r="K213" i="1" l="1"/>
  <c r="M301" i="1" l="1"/>
  <c r="L301" i="1"/>
  <c r="K301" i="1"/>
  <c r="K162" i="1"/>
  <c r="M175" i="1"/>
  <c r="L175" i="1"/>
  <c r="L291" i="1"/>
  <c r="M291" i="1"/>
  <c r="M292" i="1"/>
  <c r="L292" i="1"/>
  <c r="A174" i="1"/>
  <c r="J74" i="1" l="1"/>
  <c r="A74" i="1" s="1"/>
  <c r="K73" i="1"/>
  <c r="J99" i="1"/>
  <c r="A99" i="1" s="1"/>
  <c r="J100" i="1"/>
  <c r="A100" i="1" s="1"/>
  <c r="J101" i="1"/>
  <c r="A101" i="1" s="1"/>
  <c r="J102" i="1"/>
  <c r="A102" i="1" s="1"/>
  <c r="M88" i="1"/>
  <c r="M79" i="1" s="1"/>
  <c r="K88" i="1"/>
  <c r="L88" i="1"/>
  <c r="L79" i="1" s="1"/>
  <c r="A97" i="1"/>
  <c r="J89" i="1"/>
  <c r="A89" i="1" s="1"/>
  <c r="J94" i="1"/>
  <c r="J95" i="1"/>
  <c r="J96" i="1"/>
  <c r="A96" i="1" s="1"/>
  <c r="J88" i="1" l="1"/>
  <c r="A88" i="1" s="1"/>
  <c r="J93" i="1"/>
  <c r="A93" i="1" s="1"/>
  <c r="K49" i="1"/>
  <c r="K50" i="1"/>
  <c r="M173" i="1"/>
  <c r="M157" i="1" s="1"/>
  <c r="L173" i="1"/>
  <c r="J105" i="1" l="1"/>
  <c r="J104" i="1"/>
  <c r="L366" i="1" l="1"/>
  <c r="J366" i="1" s="1"/>
  <c r="K273" i="1" l="1"/>
  <c r="K270" i="1" s="1"/>
  <c r="C12" i="1" l="1"/>
  <c r="J13" i="1"/>
  <c r="A13" i="1" s="1"/>
  <c r="M208" i="1" l="1"/>
  <c r="L208" i="1"/>
  <c r="M366" i="1" l="1"/>
  <c r="K20" i="1"/>
  <c r="J399" i="1" l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H371" i="1"/>
  <c r="J370" i="1"/>
  <c r="J369" i="1"/>
  <c r="J368" i="1"/>
  <c r="J367" i="1"/>
  <c r="M212" i="1" l="1"/>
  <c r="L212" i="1"/>
  <c r="K75" i="1" l="1"/>
  <c r="K72" i="1" s="1"/>
  <c r="M58" i="1" l="1"/>
  <c r="L58" i="1"/>
  <c r="J67" i="1"/>
  <c r="M66" i="1"/>
  <c r="L66" i="1"/>
  <c r="K66" i="1"/>
  <c r="K65" i="1" s="1"/>
  <c r="M65" i="1"/>
  <c r="L65" i="1"/>
  <c r="K59" i="1"/>
  <c r="K58" i="1" s="1"/>
  <c r="J65" i="1" l="1"/>
  <c r="J66" i="1"/>
  <c r="K39" i="1" l="1"/>
  <c r="J296" i="1"/>
  <c r="A296" i="1" s="1"/>
  <c r="M123" i="1"/>
  <c r="M122" i="1" s="1"/>
  <c r="K123" i="1"/>
  <c r="K122" i="1" s="1"/>
  <c r="L123" i="1"/>
  <c r="L122" i="1" s="1"/>
  <c r="C124" i="1"/>
  <c r="J125" i="1"/>
  <c r="A125" i="1" s="1"/>
  <c r="N132" i="1"/>
  <c r="AK132" i="1" s="1"/>
  <c r="J132" i="1"/>
  <c r="A132" i="1" s="1"/>
  <c r="J80" i="1"/>
  <c r="A80" i="1" s="1"/>
  <c r="J81" i="1"/>
  <c r="J82" i="1"/>
  <c r="A82" i="1" s="1"/>
  <c r="J83" i="1"/>
  <c r="A83" i="1" s="1"/>
  <c r="J85" i="1"/>
  <c r="A85" i="1" s="1"/>
  <c r="J86" i="1"/>
  <c r="A86" i="1" s="1"/>
  <c r="J87" i="1"/>
  <c r="A87" i="1" s="1"/>
  <c r="J90" i="1"/>
  <c r="A90" i="1" s="1"/>
  <c r="J91" i="1"/>
  <c r="A91" i="1" s="1"/>
  <c r="J92" i="1"/>
  <c r="A92" i="1" s="1"/>
  <c r="A94" i="1"/>
  <c r="A95" i="1"/>
  <c r="J98" i="1"/>
  <c r="A98" i="1" s="1"/>
  <c r="J103" i="1"/>
  <c r="A103" i="1" s="1"/>
  <c r="A104" i="1"/>
  <c r="A105" i="1"/>
  <c r="J106" i="1"/>
  <c r="A106" i="1" s="1"/>
  <c r="M78" i="1"/>
  <c r="M77" i="1" s="1"/>
  <c r="L78" i="1"/>
  <c r="L77" i="1" s="1"/>
  <c r="K164" i="1"/>
  <c r="K168" i="1"/>
  <c r="N177" i="1"/>
  <c r="AK177" i="1" s="1"/>
  <c r="J177" i="1"/>
  <c r="A177" i="1" s="1"/>
  <c r="J291" i="1"/>
  <c r="A291" i="1" s="1"/>
  <c r="K57" i="1"/>
  <c r="K56" i="1" s="1"/>
  <c r="M113" i="1"/>
  <c r="M112" i="1" s="1"/>
  <c r="M118" i="1"/>
  <c r="M117" i="1" s="1"/>
  <c r="M127" i="1"/>
  <c r="M126" i="1" s="1"/>
  <c r="L118" i="1"/>
  <c r="L117" i="1" s="1"/>
  <c r="L113" i="1"/>
  <c r="L112" i="1" s="1"/>
  <c r="L127" i="1"/>
  <c r="L126" i="1" s="1"/>
  <c r="K118" i="1"/>
  <c r="K117" i="1" s="1"/>
  <c r="K113" i="1"/>
  <c r="K112" i="1" s="1"/>
  <c r="K127" i="1"/>
  <c r="K126" i="1" s="1"/>
  <c r="J124" i="1"/>
  <c r="A124" i="1" s="1"/>
  <c r="K135" i="1"/>
  <c r="K134" i="1" s="1"/>
  <c r="K133" i="1" s="1"/>
  <c r="J121" i="1"/>
  <c r="A121" i="1" s="1"/>
  <c r="J275" i="1"/>
  <c r="A275" i="1" s="1"/>
  <c r="J274" i="1"/>
  <c r="A274" i="1" s="1"/>
  <c r="J273" i="1"/>
  <c r="A273" i="1" s="1"/>
  <c r="J272" i="1"/>
  <c r="A272" i="1" s="1"/>
  <c r="J271" i="1"/>
  <c r="A271" i="1" s="1"/>
  <c r="M156" i="1"/>
  <c r="M155" i="1" s="1"/>
  <c r="M10" i="1"/>
  <c r="M9" i="1" s="1"/>
  <c r="M20" i="1"/>
  <c r="M15" i="1" s="1"/>
  <c r="M14" i="1" s="1"/>
  <c r="M25" i="1"/>
  <c r="M24" i="1" s="1"/>
  <c r="M23" i="1" s="1"/>
  <c r="M34" i="1"/>
  <c r="M33" i="1" s="1"/>
  <c r="M32" i="1" s="1"/>
  <c r="M42" i="1"/>
  <c r="M41" i="1" s="1"/>
  <c r="M40" i="1" s="1"/>
  <c r="M46" i="1"/>
  <c r="M45" i="1" s="1"/>
  <c r="M44" i="1" s="1"/>
  <c r="M53" i="1"/>
  <c r="M52" i="1" s="1"/>
  <c r="M51" i="1" s="1"/>
  <c r="M57" i="1"/>
  <c r="M56" i="1" s="1"/>
  <c r="M71" i="1"/>
  <c r="M70" i="1" s="1"/>
  <c r="M135" i="1"/>
  <c r="M134" i="1" s="1"/>
  <c r="M133" i="1" s="1"/>
  <c r="M138" i="1"/>
  <c r="M137" i="1" s="1"/>
  <c r="M150" i="1"/>
  <c r="M149" i="1" s="1"/>
  <c r="M147" i="1"/>
  <c r="M146" i="1" s="1"/>
  <c r="M190" i="1"/>
  <c r="M189" i="1" s="1"/>
  <c r="M193" i="1"/>
  <c r="M198" i="1"/>
  <c r="M197" i="1" s="1"/>
  <c r="M202" i="1"/>
  <c r="M201" i="1" s="1"/>
  <c r="M207" i="1"/>
  <c r="M206" i="1" s="1"/>
  <c r="M205" i="1" s="1"/>
  <c r="M211" i="1"/>
  <c r="M210" i="1" s="1"/>
  <c r="M209" i="1" s="1"/>
  <c r="M217" i="1"/>
  <c r="M216" i="1" s="1"/>
  <c r="M215" i="1" s="1"/>
  <c r="M221" i="1"/>
  <c r="M220" i="1" s="1"/>
  <c r="M219" i="1" s="1"/>
  <c r="M225" i="1"/>
  <c r="M224" i="1" s="1"/>
  <c r="M223" i="1" s="1"/>
  <c r="M243" i="1"/>
  <c r="M247" i="1"/>
  <c r="M257" i="1"/>
  <c r="M256" i="1" s="1"/>
  <c r="M270" i="1"/>
  <c r="M269" i="1" s="1"/>
  <c r="M284" i="1"/>
  <c r="M285" i="1"/>
  <c r="M299" i="1"/>
  <c r="M300" i="1"/>
  <c r="M266" i="1"/>
  <c r="M265" i="1" s="1"/>
  <c r="M304" i="1"/>
  <c r="M303" i="1" s="1"/>
  <c r="M38" i="1"/>
  <c r="M37" i="1" s="1"/>
  <c r="M36" i="1" s="1"/>
  <c r="M131" i="1"/>
  <c r="M130" i="1" s="1"/>
  <c r="M129" i="1" s="1"/>
  <c r="M322" i="1"/>
  <c r="L131" i="1"/>
  <c r="L130" i="1" s="1"/>
  <c r="L129" i="1" s="1"/>
  <c r="K131" i="1"/>
  <c r="K130" i="1" s="1"/>
  <c r="K269" i="1"/>
  <c r="K150" i="1"/>
  <c r="K149" i="1" s="1"/>
  <c r="J154" i="1"/>
  <c r="A154" i="1" s="1"/>
  <c r="J153" i="1"/>
  <c r="A153" i="1" s="1"/>
  <c r="K172" i="1"/>
  <c r="L284" i="1"/>
  <c r="L285" i="1"/>
  <c r="L299" i="1"/>
  <c r="L300" i="1"/>
  <c r="L150" i="1"/>
  <c r="L149" i="1" s="1"/>
  <c r="K286" i="1"/>
  <c r="K288" i="1"/>
  <c r="K322" i="1"/>
  <c r="N294" i="1"/>
  <c r="AK294" i="1" s="1"/>
  <c r="J294" i="1"/>
  <c r="A294" i="1" s="1"/>
  <c r="J290" i="1"/>
  <c r="A290" i="1" s="1"/>
  <c r="J161" i="1"/>
  <c r="A161" i="1" s="1"/>
  <c r="L322" i="1"/>
  <c r="L25" i="1"/>
  <c r="L24" i="1" s="1"/>
  <c r="L23" i="1" s="1"/>
  <c r="K25" i="1"/>
  <c r="K24" i="1" s="1"/>
  <c r="K23" i="1" s="1"/>
  <c r="J29" i="1"/>
  <c r="A29" i="1" s="1"/>
  <c r="J30" i="1"/>
  <c r="A30" i="1" s="1"/>
  <c r="J348" i="1"/>
  <c r="J347" i="1"/>
  <c r="M139" i="1"/>
  <c r="L139" i="1"/>
  <c r="L138" i="1"/>
  <c r="L137" i="1" s="1"/>
  <c r="J355" i="1"/>
  <c r="K243" i="1"/>
  <c r="K230" i="1" s="1"/>
  <c r="K229" i="1" s="1"/>
  <c r="K257" i="1"/>
  <c r="K256" i="1" s="1"/>
  <c r="K266" i="1"/>
  <c r="K265" i="1" s="1"/>
  <c r="K304" i="1"/>
  <c r="K303" i="1" s="1"/>
  <c r="K53" i="1"/>
  <c r="K52" i="1" s="1"/>
  <c r="K51" i="1" s="1"/>
  <c r="K10" i="1"/>
  <c r="K9" i="1" s="1"/>
  <c r="K15" i="1"/>
  <c r="K14" i="1" s="1"/>
  <c r="K34" i="1"/>
  <c r="K33" i="1" s="1"/>
  <c r="K42" i="1"/>
  <c r="K41" i="1" s="1"/>
  <c r="K40" i="1" s="1"/>
  <c r="K46" i="1"/>
  <c r="K45" i="1" s="1"/>
  <c r="K44" i="1" s="1"/>
  <c r="K71" i="1"/>
  <c r="K70" i="1" s="1"/>
  <c r="K138" i="1"/>
  <c r="K137" i="1" s="1"/>
  <c r="K142" i="1"/>
  <c r="K141" i="1" s="1"/>
  <c r="J141" i="1" s="1"/>
  <c r="A141" i="1" s="1"/>
  <c r="K147" i="1"/>
  <c r="K146" i="1" s="1"/>
  <c r="K178" i="1"/>
  <c r="K181" i="1"/>
  <c r="K190" i="1"/>
  <c r="K189" i="1" s="1"/>
  <c r="K194" i="1"/>
  <c r="K193" i="1" s="1"/>
  <c r="K198" i="1"/>
  <c r="K197" i="1" s="1"/>
  <c r="K202" i="1"/>
  <c r="K201" i="1" s="1"/>
  <c r="K207" i="1"/>
  <c r="K206" i="1" s="1"/>
  <c r="K205" i="1" s="1"/>
  <c r="K211" i="1"/>
  <c r="K210" i="1" s="1"/>
  <c r="K209" i="1" s="1"/>
  <c r="K217" i="1"/>
  <c r="K216" i="1" s="1"/>
  <c r="K215" i="1" s="1"/>
  <c r="K221" i="1"/>
  <c r="K220" i="1" s="1"/>
  <c r="K219" i="1" s="1"/>
  <c r="K225" i="1"/>
  <c r="K224" i="1" s="1"/>
  <c r="K223" i="1" s="1"/>
  <c r="K38" i="1"/>
  <c r="K37" i="1" s="1"/>
  <c r="K36" i="1" s="1"/>
  <c r="L243" i="1"/>
  <c r="L247" i="1"/>
  <c r="L257" i="1"/>
  <c r="L256" i="1" s="1"/>
  <c r="L266" i="1"/>
  <c r="L265" i="1" s="1"/>
  <c r="L304" i="1"/>
  <c r="L303" i="1" s="1"/>
  <c r="J303" i="1" s="1"/>
  <c r="A303" i="1" s="1"/>
  <c r="L10" i="1"/>
  <c r="L9" i="1" s="1"/>
  <c r="L20" i="1"/>
  <c r="J20" i="1" s="1"/>
  <c r="A20" i="1" s="1"/>
  <c r="L34" i="1"/>
  <c r="L33" i="1" s="1"/>
  <c r="L32" i="1" s="1"/>
  <c r="L42" i="1"/>
  <c r="L41" i="1" s="1"/>
  <c r="L46" i="1"/>
  <c r="L45" i="1" s="1"/>
  <c r="L44" i="1" s="1"/>
  <c r="L53" i="1"/>
  <c r="L52" i="1" s="1"/>
  <c r="L51" i="1" s="1"/>
  <c r="L57" i="1"/>
  <c r="L56" i="1" s="1"/>
  <c r="L71" i="1"/>
  <c r="L70" i="1" s="1"/>
  <c r="L135" i="1"/>
  <c r="L134" i="1" s="1"/>
  <c r="L133" i="1" s="1"/>
  <c r="L147" i="1"/>
  <c r="L146" i="1" s="1"/>
  <c r="L164" i="1"/>
  <c r="L168" i="1"/>
  <c r="L167" i="1"/>
  <c r="L176" i="1"/>
  <c r="L178" i="1"/>
  <c r="L181" i="1"/>
  <c r="A186" i="1"/>
  <c r="L190" i="1"/>
  <c r="L189" i="1" s="1"/>
  <c r="L193" i="1"/>
  <c r="L198" i="1"/>
  <c r="L197" i="1" s="1"/>
  <c r="L202" i="1"/>
  <c r="L201" i="1" s="1"/>
  <c r="L207" i="1"/>
  <c r="L206" i="1" s="1"/>
  <c r="L205" i="1" s="1"/>
  <c r="L211" i="1"/>
  <c r="L210" i="1" s="1"/>
  <c r="L209" i="1" s="1"/>
  <c r="L217" i="1"/>
  <c r="L216" i="1" s="1"/>
  <c r="L215" i="1" s="1"/>
  <c r="L221" i="1"/>
  <c r="L220" i="1" s="1"/>
  <c r="L219" i="1" s="1"/>
  <c r="L225" i="1"/>
  <c r="L224" i="1" s="1"/>
  <c r="L223" i="1" s="1"/>
  <c r="L38" i="1"/>
  <c r="L37" i="1" s="1"/>
  <c r="L36" i="1" s="1"/>
  <c r="N130" i="1"/>
  <c r="AK130" i="1" s="1"/>
  <c r="N129" i="1"/>
  <c r="AK129" i="1" s="1"/>
  <c r="N81" i="1"/>
  <c r="AK81" i="1" s="1"/>
  <c r="J323" i="1"/>
  <c r="J144" i="1"/>
  <c r="A144" i="1" s="1"/>
  <c r="K143" i="1"/>
  <c r="J143" i="1" s="1"/>
  <c r="A143" i="1" s="1"/>
  <c r="J214" i="1"/>
  <c r="A214" i="1" s="1"/>
  <c r="J27" i="1"/>
  <c r="A27" i="1" s="1"/>
  <c r="J114" i="1"/>
  <c r="A114" i="1" s="1"/>
  <c r="N39" i="1"/>
  <c r="AK39" i="1" s="1"/>
  <c r="J39" i="1"/>
  <c r="A39" i="1" s="1"/>
  <c r="N37" i="1"/>
  <c r="AK37" i="1" s="1"/>
  <c r="N36" i="1"/>
  <c r="AK36" i="1" s="1"/>
  <c r="N26" i="1"/>
  <c r="AK26" i="1" s="1"/>
  <c r="J26" i="1"/>
  <c r="A26" i="1" s="1"/>
  <c r="J120" i="1"/>
  <c r="A120" i="1" s="1"/>
  <c r="J151" i="1"/>
  <c r="A151" i="1" s="1"/>
  <c r="J152" i="1"/>
  <c r="A152" i="1" s="1"/>
  <c r="J128" i="1"/>
  <c r="A128" i="1" s="1"/>
  <c r="J292" i="1"/>
  <c r="A292" i="1" s="1"/>
  <c r="J293" i="1"/>
  <c r="A293" i="1" s="1"/>
  <c r="N188" i="1"/>
  <c r="AK188" i="1" s="1"/>
  <c r="J188" i="1"/>
  <c r="A188" i="1" s="1"/>
  <c r="J60" i="1"/>
  <c r="A60" i="1" s="1"/>
  <c r="N49" i="1"/>
  <c r="AK49" i="1" s="1"/>
  <c r="J49" i="1"/>
  <c r="A49" i="1" s="1"/>
  <c r="J50" i="1"/>
  <c r="A50" i="1" s="1"/>
  <c r="J11" i="1"/>
  <c r="A11" i="1" s="1"/>
  <c r="J12" i="1"/>
  <c r="A12" i="1" s="1"/>
  <c r="J16" i="1"/>
  <c r="A16" i="1" s="1"/>
  <c r="J17" i="1"/>
  <c r="A17" i="1" s="1"/>
  <c r="J18" i="1"/>
  <c r="A18" i="1" s="1"/>
  <c r="J19" i="1"/>
  <c r="A19" i="1" s="1"/>
  <c r="J21" i="1"/>
  <c r="A21" i="1" s="1"/>
  <c r="J22" i="1"/>
  <c r="A22" i="1" s="1"/>
  <c r="J28" i="1"/>
  <c r="A28" i="1" s="1"/>
  <c r="J35" i="1"/>
  <c r="A35" i="1" s="1"/>
  <c r="J43" i="1"/>
  <c r="A43" i="1" s="1"/>
  <c r="J47" i="1"/>
  <c r="A47" i="1" s="1"/>
  <c r="J48" i="1"/>
  <c r="A48" i="1" s="1"/>
  <c r="J54" i="1"/>
  <c r="A54" i="1" s="1"/>
  <c r="J55" i="1"/>
  <c r="A55" i="1" s="1"/>
  <c r="J59" i="1"/>
  <c r="A59" i="1" s="1"/>
  <c r="J61" i="1"/>
  <c r="A61" i="1" s="1"/>
  <c r="J62" i="1"/>
  <c r="A62" i="1" s="1"/>
  <c r="J63" i="1"/>
  <c r="A63" i="1" s="1"/>
  <c r="J64" i="1"/>
  <c r="A64" i="1" s="1"/>
  <c r="A65" i="1"/>
  <c r="A66" i="1"/>
  <c r="A67" i="1"/>
  <c r="J68" i="1"/>
  <c r="A68" i="1" s="1"/>
  <c r="J69" i="1"/>
  <c r="A69" i="1" s="1"/>
  <c r="L72" i="1"/>
  <c r="J73" i="1"/>
  <c r="A73" i="1" s="1"/>
  <c r="J75" i="1"/>
  <c r="A75" i="1" s="1"/>
  <c r="A76" i="1"/>
  <c r="J107" i="1"/>
  <c r="A107" i="1" s="1"/>
  <c r="K108" i="1"/>
  <c r="L109" i="1"/>
  <c r="J109" i="1" s="1"/>
  <c r="A109" i="1" s="1"/>
  <c r="L110" i="1"/>
  <c r="J110" i="1" s="1"/>
  <c r="A110" i="1" s="1"/>
  <c r="J115" i="1"/>
  <c r="A115" i="1" s="1"/>
  <c r="A116" i="1"/>
  <c r="J119" i="1"/>
  <c r="A119" i="1" s="1"/>
  <c r="J136" i="1"/>
  <c r="A136" i="1" s="1"/>
  <c r="K139" i="1"/>
  <c r="J140" i="1"/>
  <c r="A140" i="1" s="1"/>
  <c r="J148" i="1"/>
  <c r="A148" i="1" s="1"/>
  <c r="J158" i="1"/>
  <c r="A158" i="1" s="1"/>
  <c r="J159" i="1"/>
  <c r="A159" i="1" s="1"/>
  <c r="J160" i="1"/>
  <c r="A160" i="1" s="1"/>
  <c r="J162" i="1"/>
  <c r="A162" i="1" s="1"/>
  <c r="J163" i="1"/>
  <c r="A163" i="1" s="1"/>
  <c r="J165" i="1"/>
  <c r="A165" i="1" s="1"/>
  <c r="J166" i="1"/>
  <c r="A166" i="1" s="1"/>
  <c r="J167" i="1"/>
  <c r="A167" i="1" s="1"/>
  <c r="J169" i="1"/>
  <c r="A169" i="1" s="1"/>
  <c r="J170" i="1"/>
  <c r="A170" i="1" s="1"/>
  <c r="J171" i="1"/>
  <c r="A171" i="1" s="1"/>
  <c r="J172" i="1"/>
  <c r="A172" i="1" s="1"/>
  <c r="J173" i="1"/>
  <c r="A173" i="1" s="1"/>
  <c r="J175" i="1"/>
  <c r="A175" i="1" s="1"/>
  <c r="J176" i="1"/>
  <c r="A176" i="1" s="1"/>
  <c r="K179" i="1"/>
  <c r="L179" i="1"/>
  <c r="J180" i="1"/>
  <c r="A180" i="1" s="1"/>
  <c r="K182" i="1"/>
  <c r="L182" i="1"/>
  <c r="J183" i="1"/>
  <c r="A183" i="1" s="1"/>
  <c r="K191" i="1"/>
  <c r="L191" i="1"/>
  <c r="J192" i="1"/>
  <c r="A192" i="1" s="1"/>
  <c r="K195" i="1"/>
  <c r="L195" i="1"/>
  <c r="J196" i="1"/>
  <c r="A196" i="1" s="1"/>
  <c r="K199" i="1"/>
  <c r="L199" i="1"/>
  <c r="J200" i="1"/>
  <c r="A200" i="1" s="1"/>
  <c r="K203" i="1"/>
  <c r="L203" i="1"/>
  <c r="J204" i="1"/>
  <c r="A204" i="1" s="1"/>
  <c r="J208" i="1"/>
  <c r="A208" i="1" s="1"/>
  <c r="J212" i="1"/>
  <c r="A212" i="1" s="1"/>
  <c r="J213" i="1"/>
  <c r="A213" i="1" s="1"/>
  <c r="J218" i="1"/>
  <c r="A218" i="1" s="1"/>
  <c r="J222" i="1"/>
  <c r="A222" i="1" s="1"/>
  <c r="J226" i="1"/>
  <c r="A226" i="1" s="1"/>
  <c r="J227" i="1"/>
  <c r="A227" i="1" s="1"/>
  <c r="J231" i="1"/>
  <c r="A231" i="1" s="1"/>
  <c r="J232" i="1"/>
  <c r="A232" i="1" s="1"/>
  <c r="J233" i="1"/>
  <c r="A233" i="1" s="1"/>
  <c r="J234" i="1"/>
  <c r="A234" i="1" s="1"/>
  <c r="J235" i="1"/>
  <c r="A235" i="1" s="1"/>
  <c r="J236" i="1"/>
  <c r="A236" i="1" s="1"/>
  <c r="J237" i="1"/>
  <c r="A237" i="1" s="1"/>
  <c r="J238" i="1"/>
  <c r="A238" i="1" s="1"/>
  <c r="J239" i="1"/>
  <c r="A239" i="1" s="1"/>
  <c r="J240" i="1"/>
  <c r="A240" i="1" s="1"/>
  <c r="J241" i="1"/>
  <c r="A241" i="1" s="1"/>
  <c r="J242" i="1"/>
  <c r="A242" i="1" s="1"/>
  <c r="J244" i="1"/>
  <c r="A244" i="1" s="1"/>
  <c r="J245" i="1"/>
  <c r="A245" i="1" s="1"/>
  <c r="J246" i="1"/>
  <c r="A246" i="1" s="1"/>
  <c r="J247" i="1"/>
  <c r="A247" i="1" s="1"/>
  <c r="J248" i="1"/>
  <c r="A248" i="1" s="1"/>
  <c r="J249" i="1"/>
  <c r="A249" i="1" s="1"/>
  <c r="J250" i="1"/>
  <c r="A250" i="1" s="1"/>
  <c r="J251" i="1"/>
  <c r="A251" i="1" s="1"/>
  <c r="J252" i="1"/>
  <c r="A252" i="1" s="1"/>
  <c r="J253" i="1"/>
  <c r="A253" i="1" s="1"/>
  <c r="J254" i="1"/>
  <c r="A254" i="1" s="1"/>
  <c r="J255" i="1"/>
  <c r="A255" i="1" s="1"/>
  <c r="J258" i="1"/>
  <c r="A258" i="1" s="1"/>
  <c r="J259" i="1"/>
  <c r="A259" i="1" s="1"/>
  <c r="J260" i="1"/>
  <c r="A260" i="1" s="1"/>
  <c r="J261" i="1"/>
  <c r="A261" i="1" s="1"/>
  <c r="J262" i="1"/>
  <c r="A262" i="1" s="1"/>
  <c r="J263" i="1"/>
  <c r="A263" i="1" s="1"/>
  <c r="J264" i="1"/>
  <c r="A264" i="1" s="1"/>
  <c r="J267" i="1"/>
  <c r="A267" i="1" s="1"/>
  <c r="J268" i="1"/>
  <c r="A268" i="1" s="1"/>
  <c r="J276" i="1"/>
  <c r="A276" i="1" s="1"/>
  <c r="J279" i="1"/>
  <c r="A279" i="1" s="1"/>
  <c r="J280" i="1"/>
  <c r="A280" i="1" s="1"/>
  <c r="J281" i="1"/>
  <c r="A281" i="1" s="1"/>
  <c r="J282" i="1"/>
  <c r="A282" i="1" s="1"/>
  <c r="J283" i="1"/>
  <c r="A283" i="1" s="1"/>
  <c r="J284" i="1"/>
  <c r="A284" i="1" s="1"/>
  <c r="J285" i="1"/>
  <c r="A285" i="1" s="1"/>
  <c r="J286" i="1"/>
  <c r="A286" i="1" s="1"/>
  <c r="J287" i="1"/>
  <c r="A287" i="1" s="1"/>
  <c r="J288" i="1"/>
  <c r="A288" i="1" s="1"/>
  <c r="J289" i="1"/>
  <c r="A289" i="1" s="1"/>
  <c r="J295" i="1"/>
  <c r="A295" i="1" s="1"/>
  <c r="J297" i="1"/>
  <c r="A297" i="1" s="1"/>
  <c r="J298" i="1"/>
  <c r="A298" i="1" s="1"/>
  <c r="J299" i="1"/>
  <c r="A299" i="1" s="1"/>
  <c r="J300" i="1"/>
  <c r="A300" i="1" s="1"/>
  <c r="J301" i="1"/>
  <c r="A301" i="1" s="1"/>
  <c r="J305" i="1"/>
  <c r="A305" i="1" s="1"/>
  <c r="J306" i="1"/>
  <c r="A306" i="1" s="1"/>
  <c r="N305" i="1"/>
  <c r="AK305" i="1" s="1"/>
  <c r="N303" i="1"/>
  <c r="AK303" i="1" s="1"/>
  <c r="N210" i="1"/>
  <c r="AK210" i="1" s="1"/>
  <c r="N21" i="1"/>
  <c r="AK21" i="1" s="1"/>
  <c r="J354" i="1"/>
  <c r="J353" i="1"/>
  <c r="J352" i="1"/>
  <c r="J351" i="1"/>
  <c r="J350" i="1"/>
  <c r="J349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N144" i="1"/>
  <c r="AK144" i="1" s="1"/>
  <c r="N140" i="1"/>
  <c r="AK140" i="1" s="1"/>
  <c r="N138" i="1"/>
  <c r="AK138" i="1" s="1"/>
  <c r="N218" i="1"/>
  <c r="AK218" i="1" s="1"/>
  <c r="N151" i="1"/>
  <c r="N150" i="1" s="1"/>
  <c r="N149" i="1" s="1"/>
  <c r="AK149" i="1" s="1"/>
  <c r="M203" i="1"/>
  <c r="M72" i="1"/>
  <c r="N33" i="1"/>
  <c r="AK33" i="1" s="1"/>
  <c r="N32" i="1"/>
  <c r="AK32" i="1" s="1"/>
  <c r="M199" i="1"/>
  <c r="M195" i="1"/>
  <c r="M191" i="1"/>
  <c r="M110" i="1"/>
  <c r="M109" i="1"/>
  <c r="M108" i="1" s="1"/>
  <c r="N258" i="1"/>
  <c r="AK258" i="1" s="1"/>
  <c r="N222" i="1"/>
  <c r="AK222" i="1" s="1"/>
  <c r="N220" i="1"/>
  <c r="AK220" i="1" s="1"/>
  <c r="N219" i="1"/>
  <c r="AK219" i="1" s="1"/>
  <c r="N216" i="1"/>
  <c r="AK216" i="1" s="1"/>
  <c r="N215" i="1"/>
  <c r="AK215" i="1" s="1"/>
  <c r="N103" i="1"/>
  <c r="AK103" i="1" s="1"/>
  <c r="N22" i="1"/>
  <c r="AK22" i="1" s="1"/>
  <c r="N293" i="1"/>
  <c r="AK293" i="1" s="1"/>
  <c r="N213" i="1"/>
  <c r="AK213" i="1" s="1"/>
  <c r="N209" i="1"/>
  <c r="AK209" i="1" s="1"/>
  <c r="N204" i="1"/>
  <c r="AK204" i="1" s="1"/>
  <c r="N202" i="1"/>
  <c r="AK202" i="1" s="1"/>
  <c r="N201" i="1"/>
  <c r="AK201" i="1" s="1"/>
  <c r="N252" i="1"/>
  <c r="AK252" i="1" s="1"/>
  <c r="N48" i="1"/>
  <c r="AK48" i="1" s="1"/>
  <c r="N145" i="1"/>
  <c r="AK145" i="1" s="1"/>
  <c r="N142" i="1"/>
  <c r="AK142" i="1" s="1"/>
  <c r="N141" i="1"/>
  <c r="AK141" i="1" s="1"/>
  <c r="N80" i="1"/>
  <c r="AK80" i="1" s="1"/>
  <c r="N291" i="1"/>
  <c r="AK291" i="1" s="1"/>
  <c r="N281" i="1"/>
  <c r="AK281" i="1" s="1"/>
  <c r="N280" i="1"/>
  <c r="AK280" i="1" s="1"/>
  <c r="N50" i="1"/>
  <c r="AK50" i="1" s="1"/>
  <c r="N301" i="1"/>
  <c r="AK301" i="1" s="1"/>
  <c r="N206" i="1"/>
  <c r="AK206" i="1" s="1"/>
  <c r="N205" i="1"/>
  <c r="AK205" i="1" s="1"/>
  <c r="N45" i="1"/>
  <c r="AK45" i="1" s="1"/>
  <c r="N44" i="1"/>
  <c r="AK44" i="1" s="1"/>
  <c r="N200" i="1"/>
  <c r="AK200" i="1" s="1"/>
  <c r="N198" i="1"/>
  <c r="AK198" i="1" s="1"/>
  <c r="N197" i="1"/>
  <c r="AK197" i="1" s="1"/>
  <c r="N16" i="1"/>
  <c r="AK16" i="1" s="1"/>
  <c r="N288" i="1"/>
  <c r="AK288" i="1" s="1"/>
  <c r="N286" i="1"/>
  <c r="AK286" i="1" s="1"/>
  <c r="Z8" i="1"/>
  <c r="AA8" i="1"/>
  <c r="AA307" i="1" s="1"/>
  <c r="AB8" i="1"/>
  <c r="AB307" i="1" s="1"/>
  <c r="AC8" i="1"/>
  <c r="AC307" i="1" s="1"/>
  <c r="AD8" i="1"/>
  <c r="AD307" i="1" s="1"/>
  <c r="AE8" i="1"/>
  <c r="AE307" i="1" s="1"/>
  <c r="AF8" i="1"/>
  <c r="AF307" i="1" s="1"/>
  <c r="AG8" i="1"/>
  <c r="AG307" i="1" s="1"/>
  <c r="AH8" i="1"/>
  <c r="AH307" i="1" s="1"/>
  <c r="AI8" i="1"/>
  <c r="AI307" i="1" s="1"/>
  <c r="O8" i="1"/>
  <c r="O307" i="1" s="1"/>
  <c r="P8" i="1"/>
  <c r="P307" i="1" s="1"/>
  <c r="Q8" i="1"/>
  <c r="Q307" i="1" s="1"/>
  <c r="R8" i="1"/>
  <c r="R307" i="1" s="1"/>
  <c r="S8" i="1"/>
  <c r="S307" i="1" s="1"/>
  <c r="T8" i="1"/>
  <c r="T307" i="1" s="1"/>
  <c r="U8" i="1"/>
  <c r="U307" i="1" s="1"/>
  <c r="V8" i="1"/>
  <c r="V307" i="1" s="1"/>
  <c r="W8" i="1"/>
  <c r="W307" i="1" s="1"/>
  <c r="N23" i="1"/>
  <c r="AK23" i="1" s="1"/>
  <c r="N40" i="1"/>
  <c r="AK40" i="1" s="1"/>
  <c r="N51" i="1"/>
  <c r="AK51" i="1" s="1"/>
  <c r="N56" i="1"/>
  <c r="AK56" i="1" s="1"/>
  <c r="N77" i="1"/>
  <c r="AK77" i="1" s="1"/>
  <c r="N111" i="1"/>
  <c r="AK111" i="1" s="1"/>
  <c r="N155" i="1"/>
  <c r="AK155" i="1" s="1"/>
  <c r="N184" i="1"/>
  <c r="AK184" i="1" s="1"/>
  <c r="N133" i="1"/>
  <c r="AK133" i="1" s="1"/>
  <c r="N137" i="1"/>
  <c r="AK137" i="1" s="1"/>
  <c r="N193" i="1"/>
  <c r="AK193" i="1" s="1"/>
  <c r="N70" i="1"/>
  <c r="AK70" i="1" s="1"/>
  <c r="N223" i="1"/>
  <c r="AK223" i="1" s="1"/>
  <c r="N228" i="1"/>
  <c r="AK228" i="1" s="1"/>
  <c r="N84" i="1"/>
  <c r="AK84" i="1" s="1"/>
  <c r="N9" i="1"/>
  <c r="AK9" i="1" s="1"/>
  <c r="N11" i="1"/>
  <c r="AK11" i="1" s="1"/>
  <c r="N14" i="1"/>
  <c r="AK14" i="1" s="1"/>
  <c r="N24" i="1"/>
  <c r="AK24" i="1" s="1"/>
  <c r="N28" i="1"/>
  <c r="AK28" i="1" s="1"/>
  <c r="N41" i="1"/>
  <c r="AK41" i="1" s="1"/>
  <c r="N43" i="1"/>
  <c r="AK43" i="1" s="1"/>
  <c r="N52" i="1"/>
  <c r="AK52" i="1" s="1"/>
  <c r="N55" i="1"/>
  <c r="AK55" i="1" s="1"/>
  <c r="N57" i="1"/>
  <c r="AK57" i="1" s="1"/>
  <c r="N59" i="1"/>
  <c r="AK59" i="1" s="1"/>
  <c r="N66" i="1"/>
  <c r="AK66" i="1" s="1"/>
  <c r="N67" i="1"/>
  <c r="AK67" i="1" s="1"/>
  <c r="N69" i="1"/>
  <c r="AK69" i="1" s="1"/>
  <c r="N78" i="1"/>
  <c r="AK78" i="1" s="1"/>
  <c r="N104" i="1"/>
  <c r="AK104" i="1" s="1"/>
  <c r="N105" i="1"/>
  <c r="AK105" i="1" s="1"/>
  <c r="N110" i="1"/>
  <c r="AK110" i="1" s="1"/>
  <c r="N112" i="1"/>
  <c r="AK112" i="1" s="1"/>
  <c r="N115" i="1"/>
  <c r="AK115" i="1" s="1"/>
  <c r="N156" i="1"/>
  <c r="AK156" i="1" s="1"/>
  <c r="N165" i="1"/>
  <c r="AK165" i="1" s="1"/>
  <c r="N166" i="1"/>
  <c r="AK166" i="1" s="1"/>
  <c r="N171" i="1"/>
  <c r="AK171" i="1" s="1"/>
  <c r="N172" i="1"/>
  <c r="AK172" i="1" s="1"/>
  <c r="N176" i="1"/>
  <c r="AK176" i="1" s="1"/>
  <c r="N185" i="1"/>
  <c r="AK185" i="1" s="1"/>
  <c r="N134" i="1"/>
  <c r="AK134" i="1" s="1"/>
  <c r="N136" i="1"/>
  <c r="AK136" i="1" s="1"/>
  <c r="N189" i="1"/>
  <c r="AK189" i="1" s="1"/>
  <c r="N190" i="1"/>
  <c r="AK190" i="1" s="1"/>
  <c r="N192" i="1"/>
  <c r="AK192" i="1" s="1"/>
  <c r="N194" i="1"/>
  <c r="AK194" i="1" s="1"/>
  <c r="N196" i="1"/>
  <c r="AK196" i="1" s="1"/>
  <c r="N71" i="1"/>
  <c r="AK71" i="1" s="1"/>
  <c r="N76" i="1"/>
  <c r="AK76" i="1" s="1"/>
  <c r="N224" i="1"/>
  <c r="AK224" i="1" s="1"/>
  <c r="N227" i="1"/>
  <c r="AK227" i="1" s="1"/>
  <c r="N229" i="1"/>
  <c r="AK229" i="1" s="1"/>
  <c r="N248" i="1"/>
  <c r="AK248" i="1" s="1"/>
  <c r="N253" i="1"/>
  <c r="AK253" i="1" s="1"/>
  <c r="N256" i="1"/>
  <c r="AK256" i="1" s="1"/>
  <c r="N260" i="1"/>
  <c r="AK260" i="1" s="1"/>
  <c r="N265" i="1"/>
  <c r="AK265" i="1" s="1"/>
  <c r="N267" i="1"/>
  <c r="AK267" i="1" s="1"/>
  <c r="N269" i="1"/>
  <c r="AK269" i="1" s="1"/>
  <c r="N276" i="1"/>
  <c r="AK276" i="1" s="1"/>
  <c r="N277" i="1"/>
  <c r="AK277" i="1" s="1"/>
  <c r="AJ8" i="1"/>
  <c r="AJ307" i="1" s="1"/>
  <c r="X8" i="1"/>
  <c r="X307" i="1" s="1"/>
  <c r="L108" i="1"/>
  <c r="A81" i="1"/>
  <c r="L185" i="1"/>
  <c r="J256" i="1" l="1"/>
  <c r="A256" i="1" s="1"/>
  <c r="J223" i="1"/>
  <c r="A223" i="1" s="1"/>
  <c r="J185" i="1"/>
  <c r="A185" i="1" s="1"/>
  <c r="L277" i="1"/>
  <c r="J84" i="1"/>
  <c r="A84" i="1" s="1"/>
  <c r="K79" i="1"/>
  <c r="K157" i="1"/>
  <c r="K156" i="1" s="1"/>
  <c r="K155" i="1" s="1"/>
  <c r="L157" i="1"/>
  <c r="L156" i="1" s="1"/>
  <c r="L155" i="1" s="1"/>
  <c r="K278" i="1"/>
  <c r="J33" i="1"/>
  <c r="A33" i="1" s="1"/>
  <c r="J23" i="1"/>
  <c r="A23" i="1" s="1"/>
  <c r="J225" i="1"/>
  <c r="A225" i="1" s="1"/>
  <c r="J201" i="1"/>
  <c r="A201" i="1" s="1"/>
  <c r="J112" i="1"/>
  <c r="A112" i="1" s="1"/>
  <c r="J37" i="1"/>
  <c r="A37" i="1" s="1"/>
  <c r="J217" i="1"/>
  <c r="A217" i="1" s="1"/>
  <c r="J70" i="1"/>
  <c r="A70" i="1" s="1"/>
  <c r="J216" i="1"/>
  <c r="A216" i="1" s="1"/>
  <c r="J182" i="1"/>
  <c r="A182" i="1" s="1"/>
  <c r="J195" i="1"/>
  <c r="A195" i="1" s="1"/>
  <c r="J205" i="1"/>
  <c r="A205" i="1" s="1"/>
  <c r="L145" i="1"/>
  <c r="J146" i="1"/>
  <c r="A146" i="1" s="1"/>
  <c r="J10" i="1"/>
  <c r="A10" i="1" s="1"/>
  <c r="J206" i="1"/>
  <c r="A206" i="1" s="1"/>
  <c r="J189" i="1"/>
  <c r="A189" i="1" s="1"/>
  <c r="J199" i="1"/>
  <c r="A199" i="1" s="1"/>
  <c r="J52" i="1"/>
  <c r="A52" i="1" s="1"/>
  <c r="J224" i="1"/>
  <c r="A224" i="1" s="1"/>
  <c r="J45" i="1"/>
  <c r="A45" i="1" s="1"/>
  <c r="J46" i="1"/>
  <c r="A46" i="1" s="1"/>
  <c r="J215" i="1"/>
  <c r="A215" i="1" s="1"/>
  <c r="J197" i="1"/>
  <c r="A197" i="1" s="1"/>
  <c r="J51" i="1"/>
  <c r="A51" i="1" s="1"/>
  <c r="J44" i="1"/>
  <c r="A44" i="1" s="1"/>
  <c r="J149" i="1"/>
  <c r="A149" i="1" s="1"/>
  <c r="K145" i="1"/>
  <c r="J131" i="1"/>
  <c r="A131" i="1" s="1"/>
  <c r="J118" i="1"/>
  <c r="A118" i="1" s="1"/>
  <c r="J304" i="1"/>
  <c r="A304" i="1" s="1"/>
  <c r="J139" i="1"/>
  <c r="A139" i="1" s="1"/>
  <c r="J34" i="1"/>
  <c r="A34" i="1" s="1"/>
  <c r="K111" i="1"/>
  <c r="J142" i="1"/>
  <c r="A142" i="1" s="1"/>
  <c r="J203" i="1"/>
  <c r="A203" i="1" s="1"/>
  <c r="J179" i="1"/>
  <c r="A179" i="1" s="1"/>
  <c r="J113" i="1"/>
  <c r="A113" i="1" s="1"/>
  <c r="J209" i="1"/>
  <c r="A209" i="1" s="1"/>
  <c r="J134" i="1"/>
  <c r="A134" i="1" s="1"/>
  <c r="J108" i="1"/>
  <c r="A108" i="1" s="1"/>
  <c r="J191" i="1"/>
  <c r="A191" i="1" s="1"/>
  <c r="J71" i="1"/>
  <c r="A71" i="1" s="1"/>
  <c r="J265" i="1"/>
  <c r="A265" i="1" s="1"/>
  <c r="J164" i="1"/>
  <c r="A164" i="1" s="1"/>
  <c r="J211" i="1"/>
  <c r="A211" i="1" s="1"/>
  <c r="J133" i="1"/>
  <c r="A133" i="1" s="1"/>
  <c r="J9" i="1"/>
  <c r="A9" i="1" s="1"/>
  <c r="J137" i="1"/>
  <c r="A137" i="1" s="1"/>
  <c r="J38" i="1"/>
  <c r="A38" i="1" s="1"/>
  <c r="J219" i="1"/>
  <c r="A219" i="1" s="1"/>
  <c r="J168" i="1"/>
  <c r="A168" i="1" s="1"/>
  <c r="J269" i="1"/>
  <c r="A269" i="1" s="1"/>
  <c r="M111" i="1"/>
  <c r="L111" i="1"/>
  <c r="L184" i="1"/>
  <c r="J257" i="1"/>
  <c r="A257" i="1" s="1"/>
  <c r="J150" i="1"/>
  <c r="A150" i="1" s="1"/>
  <c r="J123" i="1"/>
  <c r="A123" i="1" s="1"/>
  <c r="J117" i="1"/>
  <c r="A117" i="1" s="1"/>
  <c r="J25" i="1"/>
  <c r="A25" i="1" s="1"/>
  <c r="J190" i="1"/>
  <c r="A190" i="1" s="1"/>
  <c r="J24" i="1"/>
  <c r="A24" i="1" s="1"/>
  <c r="J198" i="1"/>
  <c r="A198" i="1" s="1"/>
  <c r="J207" i="1"/>
  <c r="A207" i="1" s="1"/>
  <c r="J147" i="1"/>
  <c r="A147" i="1" s="1"/>
  <c r="J127" i="1"/>
  <c r="A127" i="1" s="1"/>
  <c r="J266" i="1"/>
  <c r="A266" i="1" s="1"/>
  <c r="J72" i="1"/>
  <c r="A72" i="1" s="1"/>
  <c r="J193" i="1"/>
  <c r="A193" i="1" s="1"/>
  <c r="J178" i="1"/>
  <c r="A178" i="1" s="1"/>
  <c r="J58" i="1"/>
  <c r="A58" i="1" s="1"/>
  <c r="J56" i="1"/>
  <c r="A56" i="1" s="1"/>
  <c r="J57" i="1"/>
  <c r="A57" i="1" s="1"/>
  <c r="M8" i="1"/>
  <c r="L15" i="1"/>
  <c r="J220" i="1"/>
  <c r="A220" i="1" s="1"/>
  <c r="J138" i="1"/>
  <c r="A138" i="1" s="1"/>
  <c r="J53" i="1"/>
  <c r="A53" i="1" s="1"/>
  <c r="J243" i="1"/>
  <c r="A243" i="1" s="1"/>
  <c r="J41" i="1"/>
  <c r="A41" i="1" s="1"/>
  <c r="K8" i="1"/>
  <c r="J42" i="1"/>
  <c r="A42" i="1" s="1"/>
  <c r="J210" i="1"/>
  <c r="A210" i="1" s="1"/>
  <c r="J221" i="1"/>
  <c r="A221" i="1" s="1"/>
  <c r="J194" i="1"/>
  <c r="A194" i="1" s="1"/>
  <c r="J270" i="1"/>
  <c r="A270" i="1" s="1"/>
  <c r="J36" i="1"/>
  <c r="A36" i="1" s="1"/>
  <c r="N8" i="1"/>
  <c r="N307" i="1" s="1"/>
  <c r="J202" i="1"/>
  <c r="A202" i="1" s="1"/>
  <c r="J135" i="1"/>
  <c r="A135" i="1" s="1"/>
  <c r="J122" i="1"/>
  <c r="A122" i="1" s="1"/>
  <c r="K32" i="1"/>
  <c r="J32" i="1" s="1"/>
  <c r="A32" i="1" s="1"/>
  <c r="L40" i="1"/>
  <c r="J40" i="1" s="1"/>
  <c r="A40" i="1" s="1"/>
  <c r="M145" i="1"/>
  <c r="K129" i="1"/>
  <c r="J129" i="1" s="1"/>
  <c r="A129" i="1" s="1"/>
  <c r="J130" i="1"/>
  <c r="A130" i="1" s="1"/>
  <c r="J322" i="1"/>
  <c r="L230" i="1"/>
  <c r="J181" i="1"/>
  <c r="A181" i="1" s="1"/>
  <c r="M278" i="1"/>
  <c r="M277" i="1" s="1"/>
  <c r="M230" i="1"/>
  <c r="M229" i="1" s="1"/>
  <c r="J126" i="1"/>
  <c r="A126" i="1" s="1"/>
  <c r="Z307" i="1"/>
  <c r="Y8" i="1"/>
  <c r="AK151" i="1"/>
  <c r="J184" i="1" l="1"/>
  <c r="A184" i="1" s="1"/>
  <c r="J79" i="1"/>
  <c r="A79" i="1" s="1"/>
  <c r="K78" i="1"/>
  <c r="J145" i="1"/>
  <c r="A145" i="1" s="1"/>
  <c r="J111" i="1"/>
  <c r="A111" i="1" s="1"/>
  <c r="J157" i="1"/>
  <c r="A157" i="1" s="1"/>
  <c r="L14" i="1"/>
  <c r="J15" i="1"/>
  <c r="A15" i="1" s="1"/>
  <c r="M228" i="1"/>
  <c r="M307" i="1" s="1"/>
  <c r="L229" i="1"/>
  <c r="L228" i="1" s="1"/>
  <c r="J230" i="1"/>
  <c r="A230" i="1" s="1"/>
  <c r="K277" i="1"/>
  <c r="J278" i="1"/>
  <c r="A278" i="1" s="1"/>
  <c r="Y307" i="1"/>
  <c r="AK8" i="1"/>
  <c r="AK307" i="1" s="1"/>
  <c r="K77" i="1" l="1"/>
  <c r="J77" i="1" s="1"/>
  <c r="A77" i="1" s="1"/>
  <c r="J78" i="1"/>
  <c r="A78" i="1" s="1"/>
  <c r="M319" i="1"/>
  <c r="M321" i="1" s="1"/>
  <c r="M363" i="1"/>
  <c r="M365" i="1" s="1"/>
  <c r="J14" i="1"/>
  <c r="A14" i="1" s="1"/>
  <c r="L8" i="1"/>
  <c r="J8" i="1" s="1"/>
  <c r="A8" i="1" s="1"/>
  <c r="J156" i="1"/>
  <c r="A156" i="1" s="1"/>
  <c r="J155" i="1"/>
  <c r="A155" i="1" s="1"/>
  <c r="J229" i="1"/>
  <c r="A229" i="1" s="1"/>
  <c r="J277" i="1"/>
  <c r="A277" i="1" s="1"/>
  <c r="K228" i="1"/>
  <c r="K307" i="1" l="1"/>
  <c r="K363" i="1" s="1"/>
  <c r="K365" i="1" s="1"/>
  <c r="L307" i="1"/>
  <c r="L363" i="1" s="1"/>
  <c r="J228" i="1"/>
  <c r="A228" i="1" s="1"/>
  <c r="J307" i="1" l="1"/>
  <c r="L319" i="1"/>
  <c r="L321" i="1" s="1"/>
  <c r="L365" i="1"/>
  <c r="H327" i="1"/>
  <c r="J363" i="1"/>
  <c r="J365" i="1" s="1"/>
  <c r="K319" i="1"/>
  <c r="K321" i="1" s="1"/>
  <c r="J319" i="1" l="1"/>
  <c r="J321" i="1" s="1"/>
  <c r="A307" i="1"/>
</calcChain>
</file>

<file path=xl/comments1.xml><?xml version="1.0" encoding="utf-8"?>
<comments xmlns="http://schemas.openxmlformats.org/spreadsheetml/2006/main">
  <authors>
    <author>User</author>
  </authors>
  <commentList>
    <comment ref="G69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КФК та програма невідомо</t>
        </r>
      </text>
    </comment>
    <comment ref="K10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0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5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6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6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7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7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0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0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<sst xmlns="http://schemas.openxmlformats.org/spreadsheetml/2006/main" count="981" uniqueCount="335">
  <si>
    <t>Загальний фонд</t>
  </si>
  <si>
    <t>Спеціальний фонд</t>
  </si>
  <si>
    <t>Управління освіти  виконавчого комітету                      Новомосковської міської ради</t>
  </si>
  <si>
    <t>Виконавчий комітет  Новомосковської міської ради</t>
  </si>
  <si>
    <t>Усього:</t>
  </si>
  <si>
    <t>грн</t>
  </si>
  <si>
    <t>відхилення від попереднього рішення</t>
  </si>
  <si>
    <t>ПРОФІНАНСОВАНО</t>
  </si>
  <si>
    <t>у т..ч. кредиторська заборгованість на 01.01.2011</t>
  </si>
  <si>
    <t>Управління житлово-комунального господарства та капітального будівництва Новомосковської міської ради</t>
  </si>
  <si>
    <t>РАЗОМ</t>
  </si>
  <si>
    <t>кредиторка</t>
  </si>
  <si>
    <t>п</t>
  </si>
  <si>
    <t>10</t>
  </si>
  <si>
    <t>змагання</t>
  </si>
  <si>
    <t>стипендії кращим спортсменам</t>
  </si>
  <si>
    <t>ДЮСШ "Україна"</t>
  </si>
  <si>
    <t>Цільова соціальна програма "Молодь Новомосковська на 2012-2021 роки"</t>
  </si>
  <si>
    <t>Управління праці та соціального захисту населення м.Новомосковська</t>
  </si>
  <si>
    <t>попередне рішення</t>
  </si>
  <si>
    <t>Програма охорони навколишнього природного середовища м.Новомосковска на 2016 - 2020 роки</t>
  </si>
  <si>
    <t>1050</t>
  </si>
  <si>
    <t>у тому числі за рахунок субвенції з обласного бюджету</t>
  </si>
  <si>
    <t>сумма изменений</t>
  </si>
  <si>
    <t>Цільова комплексна Програма розвитку фізичної культури та спорту в м. Новомосковську на 2017-2021 роки</t>
  </si>
  <si>
    <t>у тому числі за рахунок субвенції з державного бюджету місцевим бюджетам</t>
  </si>
  <si>
    <t>Програма підтримки заходів призову по мобілізації, на військову службу за контрактом, на строкову військову службу та забезпечення територіальної оборони м.Новомосковськ на 2017-2021 роки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</si>
  <si>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</si>
  <si>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</si>
  <si>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</si>
  <si>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</si>
  <si>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</si>
  <si>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</si>
  <si>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</si>
  <si>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</si>
  <si>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</si>
  <si>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</si>
  <si>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</si>
  <si>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</si>
  <si>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</si>
  <si>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</si>
  <si>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</si>
  <si>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</si>
  <si>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</si>
  <si>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</si>
  <si>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</si>
  <si>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</si>
  <si>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</si>
  <si>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</si>
  <si>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</si>
  <si>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</si>
  <si>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</si>
  <si>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</si>
  <si>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</si>
  <si>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</si>
  <si>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</si>
  <si>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</si>
  <si>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</si>
  <si>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</si>
  <si>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</si>
  <si>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</si>
  <si>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</si>
  <si>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</si>
  <si>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</si>
  <si>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</si>
  <si>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</si>
  <si>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</si>
  <si>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</si>
  <si>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</si>
  <si>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</si>
  <si>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</si>
  <si>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</si>
  <si>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</si>
  <si>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</si>
  <si>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</si>
  <si>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</si>
  <si>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Організація та проведення громадських робіт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</si>
  <si>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</si>
  <si>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</si>
  <si>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</si>
  <si>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</si>
  <si>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</si>
  <si>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</si>
  <si>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</si>
  <si>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</si>
  <si>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 xml:space="preserve">  Програма створення та використання матеріальних резервів для запобігання ліквідації надзвичайних ситуацій техногенного і природного характеру та їх наслідків у місті Новомосковську на 2018-2022 р.р.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</si>
  <si>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</si>
  <si>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</si>
  <si>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</si>
  <si>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</si>
  <si>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</si>
  <si>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</si>
  <si>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</si>
  <si>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</si>
  <si>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</si>
  <si>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1217363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</si>
  <si>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</si>
  <si>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</si>
  <si>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</si>
  <si>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</si>
  <si>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</si>
  <si>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</si>
  <si>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</si>
  <si>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</si>
  <si>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</si>
  <si>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Реалізація проектів в рамках Надзвичайної кредитної програми для відновлення України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</si>
  <si>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</si>
  <si>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</si>
  <si>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</si>
  <si>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</si>
  <si>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</si>
  <si>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</si>
  <si>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</si>
  <si>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</si>
  <si>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</si>
  <si>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</si>
  <si>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</si>
  <si>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</si>
  <si>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</si>
  <si>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від 07.07.2017 року № 373</t>
  </si>
  <si>
    <t>Програма фінансової підтримки комунальних підприємств, установ та закладів Новомоскосвської міської ради на 2019-2021 роки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</si>
  <si>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</si>
  <si>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</si>
  <si>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</si>
  <si>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</si>
  <si>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</si>
  <si>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Програма сприяння діяльності об"єднань співвласників багатоквартирних будинків, житлово- будівельних кооперативів міста Новомосковська на 2020-2023 роки</t>
  </si>
  <si>
    <t>Програма "Місцеві стимули для медичних працівників КЗ "Новомосковська ЦМЛ" на 2019-2021 роки" в редакції рішення міської ради від 12.11.2019 року № 1056</t>
  </si>
  <si>
    <t>від 30.11.2018 року № 775, від 12.11.2019 року № 1056</t>
  </si>
  <si>
    <t>від 13.12.2019 року № 1087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</si>
  <si>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</si>
  <si>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</si>
  <si>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</si>
  <si>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від 21.12.2016 року № 292 у редакції від 27.09.2019 р.№ 980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</si>
  <si>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</si>
  <si>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</si>
  <si>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</si>
  <si>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</si>
  <si>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</si>
  <si>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</si>
  <si>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</si>
  <si>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</si>
  <si>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</si>
  <si>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</si>
  <si>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</si>
  <si>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</si>
  <si>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>Керуючий справами</t>
  </si>
  <si>
    <t>Програма підтримки населення в енергозбереженні житлового сектора міста Новомосковська до 2021 року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</si>
  <si>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</si>
  <si>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</si>
  <si>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Фінансове управління виконавчого комітету Новомосковської міської ради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</si>
  <si>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</si>
  <si>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</si>
  <si>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</si>
  <si>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</si>
  <si>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</si>
  <si>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</si>
  <si>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</si>
  <si>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</si>
  <si>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</si>
  <si>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</si>
  <si>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</si>
  <si>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</si>
  <si>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</si>
  <si>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</si>
  <si>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</si>
  <si>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</si>
  <si>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</si>
  <si>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</si>
  <si>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</si>
  <si>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</si>
  <si>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</si>
  <si>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</si>
  <si>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</si>
  <si>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</si>
  <si>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</si>
  <si>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</si>
  <si>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Програма децентралізації теплопостачання в місті Новомосковську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</si>
  <si>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</si>
  <si>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</si>
  <si>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</si>
  <si>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</si>
  <si>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</si>
  <si>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</si>
  <si>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</si>
  <si>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</si>
  <si>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</si>
  <si>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</si>
  <si>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</si>
  <si>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</si>
  <si>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</si>
  <si>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</si>
  <si>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0813210</t>
  </si>
  <si>
    <t>3210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</si>
  <si>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</si>
  <si>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</si>
  <si>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</si>
  <si>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</si>
  <si>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</si>
  <si>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</si>
  <si>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</si>
  <si>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</si>
  <si>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</si>
  <si>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</si>
  <si>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</si>
  <si>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</si>
  <si>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0217640</t>
  </si>
  <si>
    <t>7640</t>
  </si>
  <si>
    <t>0470</t>
  </si>
  <si>
    <t>Заходи з енергозбереження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</si>
  <si>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</si>
  <si>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</si>
  <si>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</si>
  <si>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</si>
  <si>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</si>
  <si>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</si>
  <si>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0213111</t>
  </si>
  <si>
    <t>у тому числі за рахунок субвенції з державного бюджету</t>
  </si>
  <si>
    <t>від 20.05.2016 року № 91</t>
  </si>
  <si>
    <t>від 18.12.2017 року № 484</t>
  </si>
  <si>
    <t>від 12.03.2018 року № 573</t>
  </si>
  <si>
    <t>від 28.02.2019 року № 815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</si>
  <si>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</si>
  <si>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</si>
  <si>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</si>
  <si>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</si>
  <si>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</si>
  <si>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</si>
  <si>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</si>
  <si>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Програма інформатизації м.Новомосковська на 2018-2020 р.р</t>
  </si>
  <si>
    <t>від 12.03.2018 року № 551</t>
  </si>
  <si>
    <t>від 21.12.2016 року № 222</t>
  </si>
  <si>
    <t>від 30.11.2018 року №811</t>
  </si>
  <si>
    <t xml:space="preserve">Програма розвитку земельних відносин та охорони земель м.Новомосковськ на 2019-2021 р.р. 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</si>
  <si>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</si>
  <si>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</si>
  <si>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 xml:space="preserve">Програма "Здоров"я населення м.Новомосковськ на період до 2024 року"
</t>
  </si>
  <si>
    <t>від 12.11.2019 року № 1057</t>
  </si>
  <si>
    <t>Міська цільова програма "Партиципаторне бюджетування (бюджет участі) у м.Новомосковську на 2019-2022 роки"</t>
  </si>
  <si>
    <t>Програма  зайнятості населення міста Новомосковська на 2018-2022 роки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</si>
  <si>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2020-2022 роки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</si>
  <si>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</si>
  <si>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</si>
  <si>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</si>
  <si>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</si>
  <si>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Фінансове управління  Новомосковської міської ради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</si>
  <si>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</si>
  <si>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</si>
  <si>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</si>
  <si>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</si>
  <si>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</si>
  <si>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</si>
  <si>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Будівництво інших об"єктів комунальної власності</t>
  </si>
  <si>
    <t>від 28.02.2020 року №1193</t>
  </si>
  <si>
    <t>0217363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</si>
  <si>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</si>
  <si>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</si>
  <si>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</si>
  <si>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</si>
  <si>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Розподіл витрат бюджету Новомосковської міської територіальної громади на реалізацію місцевих / регіональних програм у 2021 році</t>
  </si>
  <si>
    <t>04582000000</t>
  </si>
  <si>
    <t>від 27.03.2020 року № 1223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</si>
  <si>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2020-2022 року</t>
  </si>
  <si>
    <t>від 30.01.2020 року № 1134; від 25.09.2020 року № 1369</t>
  </si>
  <si>
    <t>Програма охорони, збереження та використання об'єктів культурної спадщини на 2021-2025 р.р.</t>
  </si>
  <si>
    <t>від 29.05.2020 року№ 1262</t>
  </si>
  <si>
    <t xml:space="preserve">Програма соціально-економічного та культурного розвитку міста Новомосковська на 2021 рік 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</si>
  <si>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</si>
  <si>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</si>
  <si>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від 27.03.2020 року № 1224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</si>
  <si>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</si>
  <si>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</si>
  <si>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від 25.09.2020 року № 1376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</si>
  <si>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</si>
  <si>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</si>
  <si>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</si>
  <si>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</si>
  <si>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</si>
  <si>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</si>
  <si>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</si>
  <si>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</si>
  <si>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</si>
  <si>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</si>
  <si>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</si>
  <si>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</si>
  <si>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</si>
  <si>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>від 21.01.2016 року № 27; від 24.12.2020р.              № 33</t>
  </si>
  <si>
    <t xml:space="preserve">від 24.12.2020р.             року № 18  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</si>
  <si>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</si>
  <si>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</si>
  <si>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від 24.07.2020 року № 1310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</si>
  <si>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</si>
  <si>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1015011</t>
  </si>
  <si>
    <t>1015012</t>
  </si>
  <si>
    <t>1015061</t>
  </si>
  <si>
    <t>1015062</t>
  </si>
  <si>
    <t>Управління  культури, спорту та туризму виконавчого комітету  Новомсковської міської ради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</si>
  <si>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</si>
  <si>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</si>
  <si>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</si>
  <si>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від 10.06.2019 року № 917</t>
  </si>
  <si>
    <t>Начальник фінансового управління</t>
  </si>
  <si>
    <t>Наталія КОВТУНЕНКО</t>
  </si>
  <si>
    <t>Яків КЛИМЕНОВ</t>
  </si>
  <si>
    <t>0619770</t>
  </si>
  <si>
    <t>Програма"Управління місцевим боргом бюджету Новомосковської міської територіальної громади на 2021-2026 роки"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</si>
  <si>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</si>
  <si>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</si>
  <si>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</si>
  <si>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</si>
  <si>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</si>
  <si>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</si>
  <si>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</si>
  <si>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</si>
  <si>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</si>
  <si>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</si>
  <si>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</si>
  <si>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</si>
  <si>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</si>
  <si>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</si>
  <si>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</si>
  <si>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</si>
  <si>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</si>
  <si>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</si>
  <si>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Програма  розвитку земельних відносин, охорони земель та містобудування м.Новомосковськ на 2019-2021 роки</t>
  </si>
  <si>
    <t>0217350</t>
  </si>
  <si>
    <t>Розроблення схем планування та забудови територій (містобудівної документації)</t>
  </si>
  <si>
    <t>Міська комплексна Програма "Розвиток соціальних послуг з реалізації права дитини на виховання в сім"ї у м.Новомосковську на 2021-2025 роки"</t>
  </si>
  <si>
    <t>від 30.06.2021року № 452</t>
  </si>
  <si>
    <t>від 30.06.2021року № 436</t>
  </si>
  <si>
    <t>1017324</t>
  </si>
  <si>
    <t>Секретар міської ради</t>
  </si>
  <si>
    <t>Володимир АРУТЮНОВ</t>
  </si>
  <si>
    <t>1217325</t>
  </si>
  <si>
    <t>Будівництво1 споруд, установ та закладів фізичної культури і спорту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</si>
</sst>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58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2"/>
      <name val="Bookman Old Style"/>
      <family val="1"/>
      <charset val="204"/>
    </font>
    <font>
      <sz val="12"/>
      <color indexed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12"/>
      <color indexed="30"/>
      <name val="Bookman Old Style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2"/>
      <color indexed="53"/>
      <name val="Bookman Old Style"/>
      <family val="1"/>
      <charset val="204"/>
    </font>
    <font>
      <b/>
      <sz val="12"/>
      <color indexed="14"/>
      <name val="Bookman Old Style"/>
      <family val="1"/>
      <charset val="204"/>
    </font>
    <font>
      <b/>
      <sz val="12"/>
      <color indexed="61"/>
      <name val="Bookman Old Style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b/>
      <sz val="11"/>
      <color indexed="12"/>
      <name val="Bookman Old Style"/>
      <family val="1"/>
      <charset val="204"/>
    </font>
    <font>
      <b/>
      <sz val="10"/>
      <color indexed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10"/>
      <color indexed="17"/>
      <name val="Bookman Old Style"/>
      <family val="1"/>
      <charset val="204"/>
    </font>
    <font>
      <b/>
      <sz val="10"/>
      <color indexed="61"/>
      <name val="Bookman Old Style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20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top"/>
    </xf>
    <xf numFmtId="4" fontId="8" fillId="0" borderId="0" xfId="0" applyNumberFormat="1" applyFont="1" applyFill="1"/>
    <xf numFmtId="0" fontId="10" fillId="0" borderId="0" xfId="0" applyFont="1" applyFill="1"/>
    <xf numFmtId="0" fontId="9" fillId="0" borderId="0" xfId="0" applyFont="1" applyFill="1" applyAlignment="1">
      <alignment vertical="top"/>
    </xf>
    <xf numFmtId="0" fontId="9" fillId="0" borderId="0" xfId="0" applyFont="1" applyFill="1"/>
    <xf numFmtId="4" fontId="7" fillId="0" borderId="0" xfId="0" applyNumberFormat="1" applyFont="1" applyFill="1"/>
    <xf numFmtId="0" fontId="12" fillId="0" borderId="0" xfId="0" applyFont="1" applyFill="1"/>
    <xf numFmtId="0" fontId="11" fillId="0" borderId="0" xfId="0" applyFont="1" applyFill="1" applyAlignment="1">
      <alignment vertical="top"/>
    </xf>
    <xf numFmtId="0" fontId="11" fillId="0" borderId="0" xfId="0" applyFont="1" applyFill="1"/>
    <xf numFmtId="0" fontId="8" fillId="0" borderId="0" xfId="0" applyFont="1" applyFill="1" applyAlignment="1">
      <alignment vertical="top"/>
    </xf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" fontId="13" fillId="0" borderId="4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vertical="top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vertical="top"/>
    </xf>
    <xf numFmtId="0" fontId="14" fillId="0" borderId="0" xfId="0" applyFont="1" applyFill="1"/>
    <xf numFmtId="4" fontId="16" fillId="0" borderId="6" xfId="0" applyNumberFormat="1" applyFont="1" applyFill="1" applyBorder="1" applyAlignment="1">
      <alignment horizontal="right" vertical="top" wrapText="1"/>
    </xf>
    <xf numFmtId="4" fontId="14" fillId="0" borderId="8" xfId="0" applyNumberFormat="1" applyFont="1" applyFill="1" applyBorder="1" applyAlignment="1">
      <alignment horizontal="right" vertical="top" wrapText="1"/>
    </xf>
    <xf numFmtId="2" fontId="14" fillId="0" borderId="6" xfId="0" applyNumberFormat="1" applyFont="1" applyFill="1" applyBorder="1" applyAlignment="1">
      <alignment horizontal="right" vertical="top" wrapText="1"/>
    </xf>
    <xf numFmtId="4" fontId="14" fillId="0" borderId="6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vertical="top"/>
    </xf>
    <xf numFmtId="2" fontId="14" fillId="0" borderId="9" xfId="0" applyNumberFormat="1" applyFont="1" applyFill="1" applyBorder="1" applyAlignment="1">
      <alignment horizontal="right" vertical="top" wrapText="1"/>
    </xf>
    <xf numFmtId="4" fontId="14" fillId="0" borderId="9" xfId="0" applyNumberFormat="1" applyFont="1" applyFill="1" applyBorder="1" applyAlignment="1">
      <alignment horizontal="right" vertical="top" wrapText="1"/>
    </xf>
    <xf numFmtId="2" fontId="14" fillId="0" borderId="11" xfId="0" applyNumberFormat="1" applyFont="1" applyFill="1" applyBorder="1" applyAlignment="1">
      <alignment horizontal="right" vertical="top" wrapText="1"/>
    </xf>
    <xf numFmtId="4" fontId="14" fillId="0" borderId="11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4" fillId="0" borderId="4" xfId="0" applyNumberFormat="1" applyFont="1" applyFill="1" applyBorder="1" applyAlignment="1">
      <alignment horizontal="right" vertical="top" wrapText="1"/>
    </xf>
    <xf numFmtId="4" fontId="14" fillId="0" borderId="14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4" fontId="14" fillId="0" borderId="17" xfId="0" applyNumberFormat="1" applyFont="1" applyFill="1" applyBorder="1" applyAlignment="1">
      <alignment horizontal="right" vertical="top" wrapText="1"/>
    </xf>
    <xf numFmtId="4" fontId="14" fillId="0" borderId="16" xfId="0" applyNumberFormat="1" applyFont="1" applyFill="1" applyBorder="1" applyAlignment="1">
      <alignment horizontal="right" vertical="top" wrapText="1"/>
    </xf>
    <xf numFmtId="4" fontId="13" fillId="0" borderId="5" xfId="0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center" vertical="top"/>
    </xf>
    <xf numFmtId="4" fontId="14" fillId="0" borderId="1" xfId="0" quotePrefix="1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/>
    </xf>
    <xf numFmtId="4" fontId="13" fillId="0" borderId="5" xfId="0" applyNumberFormat="1" applyFont="1" applyFill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  <xf numFmtId="0" fontId="13" fillId="0" borderId="0" xfId="0" applyFont="1" applyFill="1" applyAlignment="1">
      <alignment vertical="top"/>
    </xf>
    <xf numFmtId="0" fontId="8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4" fontId="15" fillId="0" borderId="16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4" fontId="15" fillId="0" borderId="6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15" fillId="0" borderId="17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4" fillId="0" borderId="5" xfId="0" applyNumberFormat="1" applyFont="1" applyFill="1" applyBorder="1" applyAlignment="1">
      <alignment vertical="top"/>
    </xf>
    <xf numFmtId="4" fontId="14" fillId="0" borderId="5" xfId="0" applyNumberFormat="1" applyFont="1" applyFill="1" applyBorder="1" applyAlignment="1">
      <alignment horizontal="center" vertical="top"/>
    </xf>
    <xf numFmtId="4" fontId="14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vertical="top"/>
    </xf>
    <xf numFmtId="49" fontId="17" fillId="0" borderId="0" xfId="0" applyNumberFormat="1" applyFont="1" applyFill="1" applyAlignment="1">
      <alignment vertical="top"/>
    </xf>
    <xf numFmtId="0" fontId="18" fillId="0" borderId="0" xfId="0" applyFont="1" applyFill="1"/>
    <xf numFmtId="0" fontId="17" fillId="0" borderId="0" xfId="0" applyFont="1" applyFill="1" applyAlignment="1">
      <alignment vertical="top"/>
    </xf>
    <xf numFmtId="0" fontId="17" fillId="0" borderId="0" xfId="0" applyFont="1" applyFill="1"/>
    <xf numFmtId="49" fontId="19" fillId="0" borderId="0" xfId="0" applyNumberFormat="1" applyFont="1" applyFill="1" applyAlignment="1">
      <alignment vertical="top"/>
    </xf>
    <xf numFmtId="0" fontId="20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vertical="top"/>
    </xf>
    <xf numFmtId="4" fontId="14" fillId="0" borderId="7" xfId="0" applyNumberFormat="1" applyFont="1" applyFill="1" applyBorder="1" applyAlignment="1">
      <alignment horizontal="right" vertical="top" wrapText="1"/>
    </xf>
    <xf numFmtId="2" fontId="16" fillId="0" borderId="16" xfId="0" applyNumberFormat="1" applyFont="1" applyFill="1" applyBorder="1" applyAlignment="1">
      <alignment horizontal="right" vertical="top" wrapText="1"/>
    </xf>
    <xf numFmtId="4" fontId="16" fillId="0" borderId="16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vertical="top"/>
    </xf>
    <xf numFmtId="4" fontId="16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vertical="top"/>
    </xf>
    <xf numFmtId="0" fontId="16" fillId="0" borderId="0" xfId="0" applyFont="1" applyFill="1"/>
    <xf numFmtId="4" fontId="16" fillId="0" borderId="1" xfId="0" applyNumberFormat="1" applyFont="1" applyFill="1" applyBorder="1" applyAlignment="1">
      <alignment vertical="top"/>
    </xf>
    <xf numFmtId="4" fontId="15" fillId="0" borderId="18" xfId="0" applyNumberFormat="1" applyFont="1" applyFill="1" applyBorder="1" applyAlignment="1">
      <alignment horizontal="right" vertical="top" wrapText="1"/>
    </xf>
    <xf numFmtId="4" fontId="15" fillId="0" borderId="9" xfId="0" applyNumberFormat="1" applyFont="1" applyFill="1" applyBorder="1" applyAlignment="1">
      <alignment horizontal="right" vertical="top" wrapText="1"/>
    </xf>
    <xf numFmtId="4" fontId="16" fillId="0" borderId="9" xfId="0" applyNumberFormat="1" applyFont="1" applyFill="1" applyBorder="1" applyAlignment="1">
      <alignment horizontal="right" vertical="top" wrapText="1"/>
    </xf>
    <xf numFmtId="4" fontId="15" fillId="0" borderId="19" xfId="0" applyNumberFormat="1" applyFont="1" applyFill="1" applyBorder="1" applyAlignment="1">
      <alignment horizontal="right" vertical="top" wrapText="1"/>
    </xf>
    <xf numFmtId="4" fontId="15" fillId="0" borderId="20" xfId="0" applyNumberFormat="1" applyFont="1" applyFill="1" applyBorder="1" applyAlignment="1">
      <alignment horizontal="right" vertical="top" wrapText="1"/>
    </xf>
    <xf numFmtId="4" fontId="13" fillId="0" borderId="9" xfId="0" applyNumberFormat="1" applyFont="1" applyFill="1" applyBorder="1" applyAlignment="1">
      <alignment horizontal="right" vertical="top" wrapText="1"/>
    </xf>
    <xf numFmtId="4" fontId="15" fillId="0" borderId="5" xfId="0" applyNumberFormat="1" applyFont="1" applyFill="1" applyBorder="1" applyAlignment="1">
      <alignment horizontal="center" vertical="top"/>
    </xf>
    <xf numFmtId="4" fontId="16" fillId="0" borderId="1" xfId="0" quotePrefix="1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center" vertical="top"/>
    </xf>
    <xf numFmtId="4" fontId="16" fillId="0" borderId="11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>
      <alignment vertical="top" wrapText="1"/>
    </xf>
    <xf numFmtId="49" fontId="14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49" fontId="14" fillId="0" borderId="0" xfId="0" applyNumberFormat="1" applyFont="1" applyFill="1" applyAlignment="1">
      <alignment vertical="top"/>
    </xf>
    <xf numFmtId="4" fontId="16" fillId="0" borderId="5" xfId="0" applyNumberFormat="1" applyFont="1" applyFill="1" applyBorder="1" applyAlignment="1">
      <alignment vertical="top"/>
    </xf>
    <xf numFmtId="4" fontId="13" fillId="0" borderId="0" xfId="0" applyNumberFormat="1" applyFont="1" applyFill="1"/>
    <xf numFmtId="0" fontId="8" fillId="0" borderId="0" xfId="0" applyFont="1" applyFill="1" applyAlignment="1">
      <alignment vertical="justify"/>
    </xf>
    <xf numFmtId="0" fontId="13" fillId="0" borderId="0" xfId="0" applyFont="1" applyFill="1" applyAlignment="1">
      <alignment vertical="justify"/>
    </xf>
    <xf numFmtId="4" fontId="14" fillId="0" borderId="25" xfId="0" applyNumberFormat="1" applyFont="1" applyFill="1" applyBorder="1" applyAlignment="1">
      <alignment horizontal="right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5" fillId="0" borderId="20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4" fontId="14" fillId="0" borderId="16" xfId="0" applyNumberFormat="1" applyFont="1" applyFill="1" applyBorder="1" applyAlignment="1">
      <alignment horizontal="center" vertical="top" wrapText="1"/>
    </xf>
    <xf numFmtId="4" fontId="13" fillId="0" borderId="4" xfId="0" applyNumberFormat="1" applyFont="1" applyFill="1" applyBorder="1" applyAlignment="1">
      <alignment horizontal="right" vertical="justify" wrapText="1"/>
    </xf>
    <xf numFmtId="4" fontId="15" fillId="0" borderId="6" xfId="0" applyNumberFormat="1" applyFont="1" applyFill="1" applyBorder="1" applyAlignment="1">
      <alignment horizontal="right" vertical="justify" wrapText="1"/>
    </xf>
    <xf numFmtId="4" fontId="14" fillId="0" borderId="6" xfId="0" applyNumberFormat="1" applyFont="1" applyFill="1" applyBorder="1" applyAlignment="1">
      <alignment horizontal="right" vertical="justify" wrapText="1"/>
    </xf>
    <xf numFmtId="4" fontId="16" fillId="0" borderId="6" xfId="0" applyNumberFormat="1" applyFont="1" applyFill="1" applyBorder="1" applyAlignment="1">
      <alignment horizontal="right" vertical="justify" wrapText="1"/>
    </xf>
    <xf numFmtId="4" fontId="15" fillId="0" borderId="16" xfId="0" applyNumberFormat="1" applyFont="1" applyFill="1" applyBorder="1" applyAlignment="1">
      <alignment horizontal="right" vertical="justify" wrapText="1"/>
    </xf>
    <xf numFmtId="4" fontId="15" fillId="0" borderId="9" xfId="0" applyNumberFormat="1" applyFont="1" applyFill="1" applyBorder="1" applyAlignment="1">
      <alignment horizontal="right" vertical="justify" wrapText="1"/>
    </xf>
    <xf numFmtId="4" fontId="14" fillId="0" borderId="9" xfId="0" applyNumberFormat="1" applyFont="1" applyFill="1" applyBorder="1" applyAlignment="1">
      <alignment horizontal="right" vertical="justify" wrapText="1"/>
    </xf>
    <xf numFmtId="4" fontId="16" fillId="0" borderId="9" xfId="0" applyNumberFormat="1" applyFont="1" applyFill="1" applyBorder="1" applyAlignment="1">
      <alignment horizontal="right" vertical="justify" wrapText="1"/>
    </xf>
    <xf numFmtId="4" fontId="16" fillId="0" borderId="16" xfId="0" applyNumberFormat="1" applyFont="1" applyFill="1" applyBorder="1" applyAlignment="1">
      <alignment horizontal="right" vertical="justify" wrapText="1"/>
    </xf>
    <xf numFmtId="4" fontId="14" fillId="0" borderId="16" xfId="0" applyNumberFormat="1" applyFont="1" applyFill="1" applyBorder="1" applyAlignment="1">
      <alignment horizontal="right" vertical="justify" wrapText="1"/>
    </xf>
    <xf numFmtId="4" fontId="14" fillId="0" borderId="11" xfId="0" applyNumberFormat="1" applyFont="1" applyFill="1" applyBorder="1" applyAlignment="1">
      <alignment horizontal="right" vertical="justify" wrapText="1"/>
    </xf>
    <xf numFmtId="4" fontId="15" fillId="0" borderId="20" xfId="0" applyNumberFormat="1" applyFont="1" applyFill="1" applyBorder="1" applyAlignment="1">
      <alignment horizontal="right" vertical="justify" wrapText="1"/>
    </xf>
    <xf numFmtId="0" fontId="13" fillId="0" borderId="0" xfId="0" applyFont="1" applyFill="1" applyAlignment="1">
      <alignment horizontal="center" vertical="top"/>
    </xf>
    <xf numFmtId="0" fontId="15" fillId="0" borderId="16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4" fontId="13" fillId="0" borderId="20" xfId="0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horizontal="center" vertical="top"/>
    </xf>
    <xf numFmtId="14" fontId="13" fillId="0" borderId="4" xfId="0" applyNumberFormat="1" applyFont="1" applyFill="1" applyBorder="1" applyAlignment="1">
      <alignment horizontal="center" vertical="top" wrapText="1"/>
    </xf>
    <xf numFmtId="2" fontId="14" fillId="0" borderId="16" xfId="0" applyNumberFormat="1" applyFont="1" applyFill="1" applyBorder="1" applyAlignment="1">
      <alignment horizontal="right" vertical="top" wrapText="1"/>
    </xf>
    <xf numFmtId="164" fontId="16" fillId="0" borderId="9" xfId="1" applyFont="1" applyFill="1" applyBorder="1" applyAlignment="1">
      <alignment horizontal="right" vertical="top" wrapText="1"/>
    </xf>
    <xf numFmtId="4" fontId="14" fillId="0" borderId="12" xfId="0" applyNumberFormat="1" applyFont="1" applyFill="1" applyBorder="1" applyAlignment="1">
      <alignment horizontal="right" vertical="top" wrapText="1"/>
    </xf>
    <xf numFmtId="2" fontId="15" fillId="0" borderId="0" xfId="0" applyNumberFormat="1" applyFont="1" applyFill="1" applyAlignment="1">
      <alignment vertical="top" wrapText="1"/>
    </xf>
    <xf numFmtId="4" fontId="16" fillId="0" borderId="8" xfId="0" applyNumberFormat="1" applyFont="1" applyFill="1" applyBorder="1" applyAlignment="1">
      <alignment horizontal="right" vertical="top" wrapText="1"/>
    </xf>
    <xf numFmtId="4" fontId="14" fillId="0" borderId="16" xfId="0" applyNumberFormat="1" applyFont="1" applyFill="1" applyBorder="1" applyAlignment="1">
      <alignment vertical="top" wrapText="1"/>
    </xf>
    <xf numFmtId="4" fontId="16" fillId="0" borderId="18" xfId="0" applyNumberFormat="1" applyFont="1" applyFill="1" applyBorder="1" applyAlignment="1">
      <alignment horizontal="right" vertical="top" wrapText="1"/>
    </xf>
    <xf numFmtId="49" fontId="25" fillId="0" borderId="0" xfId="0" applyNumberFormat="1" applyFont="1" applyFill="1" applyAlignment="1">
      <alignment vertical="top" wrapText="1"/>
    </xf>
    <xf numFmtId="49" fontId="25" fillId="0" borderId="0" xfId="0" applyNumberFormat="1" applyFont="1" applyFill="1" applyAlignment="1">
      <alignment horizontal="center" vertical="top" wrapText="1"/>
    </xf>
    <xf numFmtId="49" fontId="26" fillId="0" borderId="0" xfId="0" applyNumberFormat="1" applyFont="1" applyFill="1" applyAlignment="1">
      <alignment horizontal="center" vertical="center" wrapText="1"/>
    </xf>
    <xf numFmtId="2" fontId="27" fillId="0" borderId="0" xfId="0" applyNumberFormat="1" applyFont="1" applyFill="1" applyAlignment="1">
      <alignment vertical="top" wrapText="1"/>
    </xf>
    <xf numFmtId="49" fontId="27" fillId="0" borderId="0" xfId="0" applyNumberFormat="1" applyFont="1" applyFill="1" applyAlignment="1">
      <alignment vertical="top" wrapText="1"/>
    </xf>
    <xf numFmtId="49" fontId="28" fillId="0" borderId="30" xfId="0" applyNumberFormat="1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7" fillId="0" borderId="0" xfId="0" applyFont="1" applyFill="1" applyAlignment="1">
      <alignment horizontal="center" vertical="top"/>
    </xf>
    <xf numFmtId="0" fontId="26" fillId="0" borderId="0" xfId="0" applyFont="1" applyFill="1"/>
    <xf numFmtId="0" fontId="30" fillId="0" borderId="0" xfId="0" applyFont="1" applyFill="1" applyAlignment="1">
      <alignment vertical="top"/>
    </xf>
    <xf numFmtId="0" fontId="26" fillId="0" borderId="0" xfId="0" applyFont="1" applyFill="1" applyAlignment="1">
      <alignment vertical="justify"/>
    </xf>
    <xf numFmtId="0" fontId="26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right"/>
    </xf>
    <xf numFmtId="0" fontId="33" fillId="0" borderId="21" xfId="0" applyFont="1" applyFill="1" applyBorder="1" applyAlignment="1">
      <alignment horizontal="center" vertical="top" wrapText="1"/>
    </xf>
    <xf numFmtId="0" fontId="34" fillId="0" borderId="23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49" fontId="28" fillId="0" borderId="2" xfId="0" applyNumberFormat="1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justify" wrapText="1"/>
    </xf>
    <xf numFmtId="0" fontId="27" fillId="0" borderId="4" xfId="0" applyFont="1" applyFill="1" applyBorder="1" applyAlignment="1">
      <alignment horizontal="center" vertical="top" wrapText="1"/>
    </xf>
    <xf numFmtId="4" fontId="27" fillId="0" borderId="4" xfId="0" applyNumberFormat="1" applyFont="1" applyFill="1" applyBorder="1" applyAlignment="1">
      <alignment horizontal="right" vertical="justify" wrapText="1"/>
    </xf>
    <xf numFmtId="4" fontId="27" fillId="0" borderId="4" xfId="0" applyNumberFormat="1" applyFont="1" applyFill="1" applyBorder="1" applyAlignment="1">
      <alignment horizontal="right" vertical="top" wrapText="1"/>
    </xf>
    <xf numFmtId="4" fontId="27" fillId="0" borderId="3" xfId="0" applyNumberFormat="1" applyFont="1" applyFill="1" applyBorder="1" applyAlignment="1">
      <alignment horizontal="right" vertical="top" wrapText="1"/>
    </xf>
    <xf numFmtId="49" fontId="35" fillId="0" borderId="7" xfId="0" quotePrefix="1" applyNumberFormat="1" applyFont="1" applyFill="1" applyBorder="1" applyAlignment="1">
      <alignment horizontal="center" vertical="top" wrapText="1"/>
    </xf>
    <xf numFmtId="49" fontId="35" fillId="0" borderId="7" xfId="0" applyNumberFormat="1" applyFont="1" applyFill="1" applyBorder="1" applyAlignment="1">
      <alignment horizontal="center" vertical="top" wrapText="1"/>
    </xf>
    <xf numFmtId="0" fontId="35" fillId="0" borderId="7" xfId="0" applyFont="1" applyFill="1" applyBorder="1" applyAlignment="1">
      <alignment vertical="top" wrapText="1"/>
    </xf>
    <xf numFmtId="0" fontId="35" fillId="0" borderId="7" xfId="0" applyFont="1" applyFill="1" applyBorder="1" applyAlignment="1">
      <alignment horizontal="center" vertical="justify" wrapText="1"/>
    </xf>
    <xf numFmtId="0" fontId="35" fillId="0" borderId="6" xfId="0" applyFont="1" applyFill="1" applyBorder="1" applyAlignment="1">
      <alignment horizontal="center" vertical="top" wrapText="1"/>
    </xf>
    <xf numFmtId="4" fontId="35" fillId="0" borderId="6" xfId="0" applyNumberFormat="1" applyFont="1" applyFill="1" applyBorder="1" applyAlignment="1">
      <alignment horizontal="right" vertical="justify" wrapText="1"/>
    </xf>
    <xf numFmtId="4" fontId="35" fillId="0" borderId="6" xfId="0" applyNumberFormat="1" applyFont="1" applyFill="1" applyBorder="1" applyAlignment="1">
      <alignment horizontal="right" vertical="top" wrapText="1"/>
    </xf>
    <xf numFmtId="4" fontId="35" fillId="0" borderId="8" xfId="0" applyNumberFormat="1" applyFont="1" applyFill="1" applyBorder="1" applyAlignment="1">
      <alignment horizontal="right" vertical="top" wrapText="1"/>
    </xf>
    <xf numFmtId="0" fontId="28" fillId="0" borderId="7" xfId="0" quotePrefix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6" xfId="0" applyFont="1" applyFill="1" applyBorder="1" applyAlignment="1">
      <alignment horizontal="center" vertical="top" wrapText="1"/>
    </xf>
    <xf numFmtId="4" fontId="28" fillId="0" borderId="6" xfId="0" applyNumberFormat="1" applyFont="1" applyFill="1" applyBorder="1" applyAlignment="1">
      <alignment horizontal="right" vertical="justify" wrapText="1"/>
    </xf>
    <xf numFmtId="4" fontId="28" fillId="0" borderId="6" xfId="0" applyNumberFormat="1" applyFont="1" applyFill="1" applyBorder="1" applyAlignment="1">
      <alignment horizontal="right" vertical="top" wrapText="1"/>
    </xf>
    <xf numFmtId="2" fontId="28" fillId="0" borderId="6" xfId="0" applyNumberFormat="1" applyFont="1" applyFill="1" applyBorder="1" applyAlignment="1">
      <alignment horizontal="right" vertical="top" wrapText="1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8" fillId="0" borderId="0" xfId="0" applyFont="1" applyFill="1"/>
    <xf numFmtId="4" fontId="27" fillId="0" borderId="0" xfId="0" applyNumberFormat="1" applyFont="1" applyFill="1"/>
    <xf numFmtId="0" fontId="27" fillId="0" borderId="0" xfId="0" applyFont="1" applyFill="1"/>
    <xf numFmtId="49" fontId="35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vertical="top" wrapText="1"/>
    </xf>
    <xf numFmtId="0" fontId="35" fillId="0" borderId="15" xfId="0" applyFont="1" applyFill="1" applyBorder="1" applyAlignment="1">
      <alignment horizontal="center" vertical="justify" wrapText="1"/>
    </xf>
    <xf numFmtId="0" fontId="35" fillId="0" borderId="16" xfId="0" applyFont="1" applyFill="1" applyBorder="1" applyAlignment="1">
      <alignment horizontal="center" vertical="top" wrapText="1"/>
    </xf>
    <xf numFmtId="4" fontId="35" fillId="0" borderId="16" xfId="0" applyNumberFormat="1" applyFont="1" applyFill="1" applyBorder="1" applyAlignment="1">
      <alignment horizontal="right" vertical="justify" wrapText="1"/>
    </xf>
    <xf numFmtId="4" fontId="35" fillId="0" borderId="16" xfId="0" applyNumberFormat="1" applyFont="1" applyFill="1" applyBorder="1" applyAlignment="1">
      <alignment horizontal="right" vertical="top" wrapText="1"/>
    </xf>
    <xf numFmtId="4" fontId="35" fillId="0" borderId="17" xfId="0" applyNumberFormat="1" applyFont="1" applyFill="1" applyBorder="1" applyAlignment="1">
      <alignment horizontal="right" vertical="top" wrapText="1"/>
    </xf>
    <xf numFmtId="4" fontId="28" fillId="0" borderId="8" xfId="0" applyNumberFormat="1" applyFont="1" applyFill="1" applyBorder="1" applyAlignment="1">
      <alignment horizontal="right" vertical="top" wrapText="1"/>
    </xf>
    <xf numFmtId="4" fontId="28" fillId="0" borderId="7" xfId="0" applyNumberFormat="1" applyFont="1" applyFill="1" applyBorder="1" applyAlignment="1">
      <alignment horizontal="center" vertical="justify" wrapText="1"/>
    </xf>
    <xf numFmtId="4" fontId="28" fillId="0" borderId="6" xfId="0" applyNumberFormat="1" applyFont="1" applyFill="1" applyBorder="1" applyAlignment="1">
      <alignment horizontal="center" vertical="top" wrapText="1"/>
    </xf>
    <xf numFmtId="0" fontId="28" fillId="0" borderId="13" xfId="0" quotePrefix="1" applyFont="1" applyFill="1" applyBorder="1" applyAlignment="1">
      <alignment horizontal="center" vertical="top" wrapText="1"/>
    </xf>
    <xf numFmtId="49" fontId="28" fillId="0" borderId="13" xfId="0" applyNumberFormat="1" applyFont="1" applyFill="1" applyBorder="1" applyAlignment="1">
      <alignment horizontal="center" vertical="top" wrapText="1"/>
    </xf>
    <xf numFmtId="49" fontId="28" fillId="0" borderId="7" xfId="0" quotePrefix="1" applyNumberFormat="1" applyFont="1" applyFill="1" applyBorder="1" applyAlignment="1">
      <alignment horizontal="center" vertical="top" wrapText="1"/>
    </xf>
    <xf numFmtId="2" fontId="35" fillId="0" borderId="0" xfId="0" applyNumberFormat="1" applyFont="1" applyFill="1" applyAlignment="1">
      <alignment vertical="top" wrapText="1"/>
    </xf>
    <xf numFmtId="49" fontId="35" fillId="0" borderId="0" xfId="0" applyNumberFormat="1" applyFont="1" applyFill="1" applyAlignment="1">
      <alignment vertical="top" wrapText="1"/>
    </xf>
    <xf numFmtId="0" fontId="28" fillId="0" borderId="7" xfId="0" quotePrefix="1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top" wrapText="1"/>
    </xf>
    <xf numFmtId="0" fontId="36" fillId="0" borderId="7" xfId="0" quotePrefix="1" applyFont="1" applyFill="1" applyBorder="1" applyAlignment="1">
      <alignment horizontal="center" vertical="top" wrapText="1"/>
    </xf>
    <xf numFmtId="49" fontId="36" fillId="0" borderId="7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vertical="top" wrapText="1"/>
    </xf>
    <xf numFmtId="0" fontId="36" fillId="0" borderId="7" xfId="0" applyFont="1" applyFill="1" applyBorder="1" applyAlignment="1">
      <alignment horizontal="center" vertical="top" wrapText="1"/>
    </xf>
    <xf numFmtId="0" fontId="36" fillId="0" borderId="6" xfId="0" applyFont="1" applyFill="1" applyBorder="1" applyAlignment="1">
      <alignment horizontal="center" vertical="top" wrapText="1"/>
    </xf>
    <xf numFmtId="4" fontId="36" fillId="0" borderId="6" xfId="0" applyNumberFormat="1" applyFont="1" applyFill="1" applyBorder="1" applyAlignment="1">
      <alignment horizontal="right" vertical="justify" wrapText="1"/>
    </xf>
    <xf numFmtId="4" fontId="36" fillId="0" borderId="6" xfId="0" applyNumberFormat="1" applyFont="1" applyFill="1" applyBorder="1" applyAlignment="1">
      <alignment horizontal="right" vertical="top" wrapText="1"/>
    </xf>
    <xf numFmtId="2" fontId="36" fillId="0" borderId="6" xfId="0" applyNumberFormat="1" applyFont="1" applyFill="1" applyBorder="1" applyAlignment="1">
      <alignment horizontal="right" vertical="top" wrapText="1"/>
    </xf>
    <xf numFmtId="49" fontId="35" fillId="0" borderId="15" xfId="0" quotePrefix="1" applyNumberFormat="1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horizontal="center" vertical="justify" wrapText="1"/>
    </xf>
    <xf numFmtId="0" fontId="35" fillId="0" borderId="9" xfId="0" applyFont="1" applyFill="1" applyBorder="1" applyAlignment="1">
      <alignment horizontal="center" vertical="top" wrapText="1"/>
    </xf>
    <xf numFmtId="4" fontId="35" fillId="0" borderId="9" xfId="0" applyNumberFormat="1" applyFont="1" applyFill="1" applyBorder="1" applyAlignment="1">
      <alignment horizontal="right" vertical="justify" wrapText="1"/>
    </xf>
    <xf numFmtId="0" fontId="28" fillId="0" borderId="13" xfId="0" applyFont="1" applyFill="1" applyBorder="1" applyAlignment="1">
      <alignment horizontal="center" vertical="justify" wrapText="1"/>
    </xf>
    <xf numFmtId="0" fontId="28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justify" wrapText="1"/>
    </xf>
    <xf numFmtId="4" fontId="28" fillId="0" borderId="9" xfId="0" applyNumberFormat="1" applyFont="1" applyFill="1" applyBorder="1" applyAlignment="1">
      <alignment horizontal="right" vertical="top" wrapText="1"/>
    </xf>
    <xf numFmtId="2" fontId="28" fillId="0" borderId="9" xfId="0" applyNumberFormat="1" applyFont="1" applyFill="1" applyBorder="1" applyAlignment="1">
      <alignment horizontal="right" vertical="top" wrapText="1"/>
    </xf>
    <xf numFmtId="0" fontId="28" fillId="0" borderId="13" xfId="0" applyFont="1" applyFill="1" applyBorder="1" applyAlignment="1">
      <alignment horizontal="center" vertical="top" wrapText="1"/>
    </xf>
    <xf numFmtId="0" fontId="36" fillId="0" borderId="0" xfId="0" applyFont="1" applyFill="1"/>
    <xf numFmtId="49" fontId="27" fillId="0" borderId="2" xfId="0" applyNumberFormat="1" applyFont="1" applyFill="1" applyBorder="1" applyAlignment="1">
      <alignment horizontal="center" vertical="top" wrapText="1"/>
    </xf>
    <xf numFmtId="0" fontId="27" fillId="3" borderId="2" xfId="0" applyFont="1" applyFill="1" applyBorder="1" applyAlignment="1">
      <alignment horizontal="center" vertical="justify" wrapText="1"/>
    </xf>
    <xf numFmtId="0" fontId="28" fillId="0" borderId="13" xfId="0" quotePrefix="1" applyFont="1" applyFill="1" applyBorder="1" applyAlignment="1">
      <alignment vertical="top" wrapText="1"/>
    </xf>
    <xf numFmtId="0" fontId="35" fillId="0" borderId="0" xfId="0" applyFont="1" applyFill="1"/>
    <xf numFmtId="0" fontId="27" fillId="3" borderId="4" xfId="0" applyFont="1" applyFill="1" applyBorder="1" applyAlignment="1">
      <alignment horizontal="center" vertical="top" wrapText="1"/>
    </xf>
    <xf numFmtId="0" fontId="36" fillId="0" borderId="7" xfId="0" applyFont="1" applyFill="1" applyBorder="1" applyAlignment="1">
      <alignment vertical="top" wrapText="1"/>
    </xf>
    <xf numFmtId="0" fontId="36" fillId="0" borderId="13" xfId="0" applyFont="1" applyFill="1" applyBorder="1" applyAlignment="1">
      <alignment horizontal="center" vertical="justify" wrapText="1"/>
    </xf>
    <xf numFmtId="0" fontId="36" fillId="0" borderId="9" xfId="0" applyFont="1" applyFill="1" applyBorder="1" applyAlignment="1">
      <alignment horizontal="center" vertical="top" wrapText="1"/>
    </xf>
    <xf numFmtId="4" fontId="36" fillId="0" borderId="9" xfId="0" applyNumberFormat="1" applyFont="1" applyFill="1" applyBorder="1" applyAlignment="1">
      <alignment horizontal="right" vertical="justify" wrapText="1"/>
    </xf>
    <xf numFmtId="4" fontId="36" fillId="0" borderId="9" xfId="0" applyNumberFormat="1" applyFont="1" applyFill="1" applyBorder="1" applyAlignment="1">
      <alignment horizontal="right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horizontal="center" vertical="top" wrapText="1"/>
    </xf>
    <xf numFmtId="49" fontId="35" fillId="0" borderId="13" xfId="0" applyNumberFormat="1" applyFont="1" applyFill="1" applyBorder="1" applyAlignment="1">
      <alignment horizontal="center" vertical="top" wrapText="1"/>
    </xf>
    <xf numFmtId="0" fontId="35" fillId="0" borderId="13" xfId="0" applyFont="1" applyFill="1" applyBorder="1" applyAlignment="1">
      <alignment vertical="top" wrapText="1"/>
    </xf>
    <xf numFmtId="0" fontId="27" fillId="0" borderId="13" xfId="0" applyFont="1" applyFill="1" applyBorder="1" applyAlignment="1">
      <alignment horizontal="center" vertical="top" wrapText="1"/>
    </xf>
    <xf numFmtId="0" fontId="27" fillId="0" borderId="9" xfId="0" applyFont="1" applyFill="1" applyBorder="1" applyAlignment="1">
      <alignment horizontal="center" vertical="top" wrapText="1"/>
    </xf>
    <xf numFmtId="4" fontId="35" fillId="0" borderId="9" xfId="0" applyNumberFormat="1" applyFont="1" applyFill="1" applyBorder="1" applyAlignment="1">
      <alignment horizontal="right" vertical="top" wrapText="1"/>
    </xf>
    <xf numFmtId="0" fontId="28" fillId="0" borderId="12" xfId="0" quotePrefix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horizontal="center" vertical="top" wrapText="1"/>
    </xf>
    <xf numFmtId="49" fontId="28" fillId="0" borderId="12" xfId="0" applyNumberFormat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top" wrapText="1"/>
    </xf>
    <xf numFmtId="4" fontId="28" fillId="0" borderId="11" xfId="0" applyNumberFormat="1" applyFont="1" applyFill="1" applyBorder="1" applyAlignment="1">
      <alignment horizontal="right" vertical="top" wrapText="1"/>
    </xf>
    <xf numFmtId="0" fontId="35" fillId="0" borderId="23" xfId="0" applyFont="1" applyFill="1" applyBorder="1" applyAlignment="1">
      <alignment horizontal="center" vertical="justify" wrapText="1"/>
    </xf>
    <xf numFmtId="0" fontId="35" fillId="0" borderId="20" xfId="0" applyFont="1" applyFill="1" applyBorder="1" applyAlignment="1">
      <alignment horizontal="center" vertical="top" wrapText="1"/>
    </xf>
    <xf numFmtId="4" fontId="35" fillId="0" borderId="20" xfId="0" applyNumberFormat="1" applyFont="1" applyFill="1" applyBorder="1" applyAlignment="1">
      <alignment horizontal="right" vertical="justify" wrapText="1"/>
    </xf>
    <xf numFmtId="4" fontId="35" fillId="0" borderId="20" xfId="0" applyNumberFormat="1" applyFont="1" applyFill="1" applyBorder="1" applyAlignment="1">
      <alignment horizontal="right" vertical="top" wrapText="1"/>
    </xf>
    <xf numFmtId="49" fontId="28" fillId="0" borderId="12" xfId="0" quotePrefix="1" applyNumberFormat="1" applyFont="1" applyFill="1" applyBorder="1" applyAlignment="1">
      <alignment horizontal="center" vertical="top" wrapText="1"/>
    </xf>
    <xf numFmtId="0" fontId="28" fillId="0" borderId="12" xfId="0" applyFont="1" applyFill="1" applyBorder="1" applyAlignment="1">
      <alignment horizontal="center" vertical="justify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35" fillId="0" borderId="19" xfId="0" applyNumberFormat="1" applyFont="1" applyFill="1" applyBorder="1" applyAlignment="1">
      <alignment horizontal="right" vertical="top" wrapText="1"/>
    </xf>
    <xf numFmtId="4" fontId="28" fillId="0" borderId="11" xfId="0" applyNumberFormat="1" applyFont="1" applyFill="1" applyBorder="1" applyAlignment="1">
      <alignment horizontal="right" vertical="justify" wrapText="1"/>
    </xf>
    <xf numFmtId="0" fontId="35" fillId="0" borderId="7" xfId="0" applyFont="1" applyFill="1" applyBorder="1" applyAlignment="1">
      <alignment horizontal="center" vertical="top" wrapText="1"/>
    </xf>
    <xf numFmtId="4" fontId="35" fillId="0" borderId="7" xfId="0" applyNumberFormat="1" applyFont="1" applyFill="1" applyBorder="1" applyAlignment="1">
      <alignment horizontal="right" vertical="top" wrapText="1"/>
    </xf>
    <xf numFmtId="49" fontId="35" fillId="0" borderId="23" xfId="0" applyNumberFormat="1" applyFont="1" applyFill="1" applyBorder="1" applyAlignment="1">
      <alignment horizontal="center" vertical="top" wrapText="1"/>
    </xf>
    <xf numFmtId="0" fontId="35" fillId="0" borderId="23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vertical="top" wrapText="1"/>
    </xf>
    <xf numFmtId="4" fontId="28" fillId="0" borderId="14" xfId="0" applyNumberFormat="1" applyFont="1" applyFill="1" applyBorder="1" applyAlignment="1">
      <alignment horizontal="right" vertical="top" wrapText="1"/>
    </xf>
    <xf numFmtId="49" fontId="28" fillId="0" borderId="15" xfId="0" applyNumberFormat="1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justify" wrapText="1"/>
    </xf>
    <xf numFmtId="0" fontId="27" fillId="0" borderId="16" xfId="0" applyFont="1" applyFill="1" applyBorder="1" applyAlignment="1">
      <alignment horizontal="center" vertical="top" wrapText="1"/>
    </xf>
    <xf numFmtId="4" fontId="27" fillId="0" borderId="16" xfId="0" applyNumberFormat="1" applyFont="1" applyFill="1" applyBorder="1" applyAlignment="1">
      <alignment horizontal="right" vertical="justify" wrapText="1"/>
    </xf>
    <xf numFmtId="4" fontId="27" fillId="0" borderId="16" xfId="0" applyNumberFormat="1" applyFont="1" applyFill="1" applyBorder="1" applyAlignment="1">
      <alignment horizontal="right" vertical="top" wrapText="1"/>
    </xf>
    <xf numFmtId="4" fontId="28" fillId="0" borderId="10" xfId="0" applyNumberFormat="1" applyFont="1" applyFill="1" applyBorder="1" applyAlignment="1">
      <alignment horizontal="right" vertical="top" wrapText="1"/>
    </xf>
    <xf numFmtId="0" fontId="36" fillId="0" borderId="7" xfId="0" applyFont="1" applyFill="1" applyBorder="1" applyAlignment="1">
      <alignment horizontal="center" vertical="justify" wrapText="1"/>
    </xf>
    <xf numFmtId="0" fontId="28" fillId="0" borderId="15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0" fontId="36" fillId="0" borderId="23" xfId="0" applyFont="1" applyFill="1" applyBorder="1"/>
    <xf numFmtId="0" fontId="36" fillId="0" borderId="16" xfId="0" applyFont="1" applyFill="1" applyBorder="1" applyAlignment="1">
      <alignment horizontal="center" vertical="top" wrapText="1"/>
    </xf>
    <xf numFmtId="4" fontId="36" fillId="0" borderId="16" xfId="0" applyNumberFormat="1" applyFont="1" applyFill="1" applyBorder="1" applyAlignment="1">
      <alignment horizontal="right" vertical="justify" wrapText="1"/>
    </xf>
    <xf numFmtId="4" fontId="36" fillId="0" borderId="16" xfId="0" applyNumberFormat="1" applyFont="1" applyFill="1" applyBorder="1" applyAlignment="1">
      <alignment horizontal="right" vertical="top" wrapText="1"/>
    </xf>
    <xf numFmtId="49" fontId="33" fillId="0" borderId="0" xfId="0" applyNumberFormat="1" applyFont="1" applyFill="1" applyAlignment="1">
      <alignment vertical="top" wrapText="1"/>
    </xf>
    <xf numFmtId="0" fontId="28" fillId="0" borderId="24" xfId="0" applyFont="1" applyFill="1" applyBorder="1" applyAlignment="1">
      <alignment horizontal="center" vertical="justify" wrapText="1"/>
    </xf>
    <xf numFmtId="0" fontId="28" fillId="0" borderId="22" xfId="0" applyFont="1" applyFill="1" applyBorder="1" applyAlignment="1">
      <alignment horizontal="center" vertical="top" wrapText="1"/>
    </xf>
    <xf numFmtId="4" fontId="27" fillId="0" borderId="22" xfId="0" applyNumberFormat="1" applyFont="1" applyFill="1" applyBorder="1" applyAlignment="1">
      <alignment horizontal="right" wrapTex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vertical="top"/>
    </xf>
    <xf numFmtId="0" fontId="31" fillId="0" borderId="0" xfId="0" applyFont="1" applyFill="1" applyAlignment="1">
      <alignment vertical="justify"/>
    </xf>
    <xf numFmtId="0" fontId="31" fillId="0" borderId="0" xfId="0" applyFont="1" applyFill="1" applyAlignment="1">
      <alignment horizontal="center" vertical="top"/>
    </xf>
    <xf numFmtId="0" fontId="31" fillId="0" borderId="0" xfId="0" applyFont="1" applyFill="1"/>
    <xf numFmtId="4" fontId="31" fillId="0" borderId="0" xfId="0" applyNumberFormat="1" applyFont="1" applyFill="1"/>
    <xf numFmtId="0" fontId="28" fillId="0" borderId="0" xfId="0" applyFont="1" applyFill="1" applyAlignment="1">
      <alignment wrapText="1"/>
    </xf>
    <xf numFmtId="49" fontId="37" fillId="0" borderId="0" xfId="0" applyNumberFormat="1" applyFont="1" applyFill="1" applyAlignment="1">
      <alignment vertical="top" wrapText="1"/>
    </xf>
    <xf numFmtId="49" fontId="38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39" fillId="0" borderId="0" xfId="0" applyNumberFormat="1" applyFont="1" applyFill="1" applyAlignment="1">
      <alignment vertical="top" wrapText="1"/>
    </xf>
    <xf numFmtId="0" fontId="33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right" vertical="justify"/>
    </xf>
    <xf numFmtId="4" fontId="33" fillId="0" borderId="0" xfId="0" applyNumberFormat="1" applyFont="1" applyFill="1"/>
    <xf numFmtId="0" fontId="37" fillId="0" borderId="0" xfId="0" applyFont="1" applyFill="1"/>
    <xf numFmtId="0" fontId="37" fillId="0" borderId="0" xfId="0" applyFont="1" applyFill="1" applyAlignment="1">
      <alignment vertical="top"/>
    </xf>
    <xf numFmtId="0" fontId="37" fillId="0" borderId="0" xfId="0" applyFont="1" applyFill="1" applyAlignment="1">
      <alignment horizontal="right" vertical="justify"/>
    </xf>
    <xf numFmtId="0" fontId="37" fillId="0" borderId="0" xfId="0" applyFont="1" applyFill="1" applyAlignment="1">
      <alignment horizontal="center" vertical="top"/>
    </xf>
    <xf numFmtId="4" fontId="37" fillId="0" borderId="0" xfId="0" applyNumberFormat="1" applyFont="1" applyFill="1" applyAlignment="1">
      <alignment horizontal="right" vertical="justify"/>
    </xf>
    <xf numFmtId="4" fontId="37" fillId="0" borderId="0" xfId="0" applyNumberFormat="1" applyFont="1" applyFill="1"/>
    <xf numFmtId="0" fontId="38" fillId="0" borderId="0" xfId="0" applyFont="1" applyFill="1"/>
    <xf numFmtId="0" fontId="40" fillId="0" borderId="0" xfId="0" applyFont="1" applyFill="1" applyAlignment="1">
      <alignment vertical="top" wrapText="1"/>
    </xf>
    <xf numFmtId="0" fontId="38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center" vertical="top"/>
    </xf>
    <xf numFmtId="4" fontId="40" fillId="0" borderId="0" xfId="0" applyNumberFormat="1" applyFont="1" applyFill="1"/>
    <xf numFmtId="0" fontId="39" fillId="0" borderId="0" xfId="0" applyFont="1" applyFill="1"/>
    <xf numFmtId="0" fontId="39" fillId="0" borderId="0" xfId="0" applyFont="1" applyFill="1" applyAlignment="1">
      <alignment vertical="top"/>
    </xf>
    <xf numFmtId="0" fontId="41" fillId="0" borderId="1" xfId="0" applyFont="1" applyFill="1" applyBorder="1" applyAlignment="1">
      <alignment horizontal="right" vertical="justify"/>
    </xf>
    <xf numFmtId="0" fontId="39" fillId="0" borderId="27" xfId="0" applyFont="1" applyFill="1" applyBorder="1" applyAlignment="1">
      <alignment horizontal="center" vertical="top"/>
    </xf>
    <xf numFmtId="4" fontId="41" fillId="0" borderId="1" xfId="0" applyNumberFormat="1" applyFont="1" applyFill="1" applyBorder="1"/>
    <xf numFmtId="0" fontId="31" fillId="0" borderId="1" xfId="0" applyFont="1" applyFill="1" applyBorder="1" applyAlignment="1">
      <alignment horizontal="right" vertical="justify"/>
    </xf>
    <xf numFmtId="0" fontId="31" fillId="0" borderId="26" xfId="0" applyFont="1" applyFill="1" applyBorder="1" applyAlignment="1">
      <alignment horizontal="center" vertical="top"/>
    </xf>
    <xf numFmtId="4" fontId="33" fillId="0" borderId="1" xfId="0" applyNumberFormat="1" applyFont="1" applyFill="1" applyBorder="1" applyAlignment="1">
      <alignment horizontal="right" vertical="justify"/>
    </xf>
    <xf numFmtId="4" fontId="33" fillId="0" borderId="1" xfId="0" applyNumberFormat="1" applyFont="1" applyFill="1" applyBorder="1"/>
    <xf numFmtId="0" fontId="31" fillId="0" borderId="29" xfId="0" applyFont="1" applyFill="1" applyBorder="1" applyAlignment="1">
      <alignment horizontal="center" vertical="top"/>
    </xf>
    <xf numFmtId="4" fontId="34" fillId="0" borderId="1" xfId="0" applyNumberFormat="1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vertical="top"/>
    </xf>
    <xf numFmtId="0" fontId="31" fillId="0" borderId="0" xfId="0" applyFont="1" applyFill="1" applyBorder="1" applyAlignment="1">
      <alignment horizontal="right" vertical="justify"/>
    </xf>
    <xf numFmtId="4" fontId="33" fillId="0" borderId="31" xfId="0" applyNumberFormat="1" applyFont="1" applyFill="1" applyBorder="1" applyAlignment="1">
      <alignment horizontal="right" vertical="justify"/>
    </xf>
    <xf numFmtId="0" fontId="31" fillId="0" borderId="0" xfId="0" applyFont="1" applyFill="1" applyBorder="1" applyAlignment="1">
      <alignment horizontal="center" vertical="top"/>
    </xf>
    <xf numFmtId="4" fontId="34" fillId="0" borderId="1" xfId="0" applyNumberFormat="1" applyFont="1" applyFill="1" applyBorder="1"/>
    <xf numFmtId="4" fontId="34" fillId="0" borderId="5" xfId="0" applyNumberFormat="1" applyFont="1" applyFill="1" applyBorder="1"/>
    <xf numFmtId="0" fontId="26" fillId="0" borderId="0" xfId="0" applyFont="1" applyFill="1" applyAlignment="1">
      <alignment vertical="top"/>
    </xf>
    <xf numFmtId="0" fontId="26" fillId="0" borderId="0" xfId="0" applyFont="1" applyFill="1" applyBorder="1" applyAlignment="1">
      <alignment horizontal="right" vertical="justify"/>
    </xf>
    <xf numFmtId="0" fontId="26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right" vertical="justify"/>
    </xf>
    <xf numFmtId="0" fontId="26" fillId="0" borderId="28" xfId="0" applyFont="1" applyFill="1" applyBorder="1" applyAlignment="1">
      <alignment horizontal="center" vertical="top"/>
    </xf>
    <xf numFmtId="4" fontId="33" fillId="0" borderId="32" xfId="0" applyNumberFormat="1" applyFont="1" applyFill="1" applyBorder="1" applyAlignment="1">
      <alignment horizontal="right" vertical="justify"/>
    </xf>
    <xf numFmtId="4" fontId="34" fillId="0" borderId="33" xfId="0" applyNumberFormat="1" applyFont="1" applyFill="1" applyBorder="1"/>
    <xf numFmtId="0" fontId="26" fillId="0" borderId="0" xfId="0" applyFont="1" applyFill="1" applyAlignment="1">
      <alignment horizontal="right" vertical="justify"/>
    </xf>
    <xf numFmtId="0" fontId="34" fillId="0" borderId="0" xfId="0" applyFont="1" applyFill="1" applyAlignment="1">
      <alignment horizontal="right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Alignment="1">
      <alignment horizontal="right" vertical="justify"/>
    </xf>
    <xf numFmtId="0" fontId="45" fillId="0" borderId="0" xfId="0" applyFont="1" applyFill="1" applyAlignment="1">
      <alignment horizontal="right" vertical="justify"/>
    </xf>
    <xf numFmtId="0" fontId="34" fillId="0" borderId="0" xfId="0" applyFont="1" applyFill="1" applyAlignment="1">
      <alignment vertical="justify"/>
    </xf>
    <xf numFmtId="4" fontId="34" fillId="0" borderId="31" xfId="0" applyNumberFormat="1" applyFont="1" applyFill="1" applyBorder="1"/>
    <xf numFmtId="0" fontId="25" fillId="0" borderId="0" xfId="0" applyFont="1" applyFill="1" applyAlignment="1">
      <alignment vertical="justify"/>
    </xf>
    <xf numFmtId="0" fontId="28" fillId="0" borderId="0" xfId="0" applyFont="1" applyFill="1" applyAlignment="1">
      <alignment horizontal="left"/>
    </xf>
    <xf numFmtId="2" fontId="28" fillId="0" borderId="0" xfId="0" applyNumberFormat="1" applyFont="1" applyFill="1" applyAlignment="1">
      <alignment wrapText="1"/>
    </xf>
    <xf numFmtId="49" fontId="31" fillId="0" borderId="0" xfId="0" applyNumberFormat="1" applyFont="1" applyFill="1" applyAlignment="1">
      <alignment wrapText="1"/>
    </xf>
    <xf numFmtId="0" fontId="28" fillId="0" borderId="0" xfId="0" applyFont="1" applyAlignment="1"/>
    <xf numFmtId="0" fontId="31" fillId="0" borderId="0" xfId="0" applyFont="1" applyFill="1" applyAlignment="1"/>
    <xf numFmtId="0" fontId="28" fillId="0" borderId="0" xfId="0" applyFont="1" applyAlignment="1">
      <alignment horizontal="center"/>
    </xf>
    <xf numFmtId="0" fontId="28" fillId="0" borderId="0" xfId="0" applyFont="1" applyFill="1" applyAlignment="1"/>
    <xf numFmtId="4" fontId="28" fillId="0" borderId="0" xfId="0" applyNumberFormat="1" applyFont="1" applyFill="1" applyAlignment="1"/>
    <xf numFmtId="0" fontId="27" fillId="0" borderId="0" xfId="0" applyFont="1" applyFill="1" applyAlignment="1">
      <alignment horizontal="center" vertical="justify"/>
    </xf>
    <xf numFmtId="2" fontId="36" fillId="0" borderId="16" xfId="0" applyNumberFormat="1" applyFont="1" applyFill="1" applyBorder="1" applyAlignment="1">
      <alignment horizontal="right" vertical="top" wrapText="1"/>
    </xf>
    <xf numFmtId="0" fontId="36" fillId="0" borderId="15" xfId="0" quotePrefix="1" applyFont="1" applyFill="1" applyBorder="1" applyAlignment="1">
      <alignment horizontal="center" vertical="top" wrapText="1"/>
    </xf>
    <xf numFmtId="0" fontId="36" fillId="0" borderId="23" xfId="0" quotePrefix="1" applyFont="1" applyFill="1" applyBorder="1" applyAlignment="1">
      <alignment horizontal="center" vertical="top" wrapText="1"/>
    </xf>
    <xf numFmtId="0" fontId="36" fillId="0" borderId="13" xfId="0" quotePrefix="1" applyFont="1" applyFill="1" applyBorder="1" applyAlignment="1">
      <alignment horizontal="center" vertical="top" wrapText="1"/>
    </xf>
    <xf numFmtId="49" fontId="28" fillId="0" borderId="15" xfId="0" quotePrefix="1" applyNumberFormat="1" applyFont="1" applyFill="1" applyBorder="1" applyAlignment="1">
      <alignment horizontal="center" vertical="top" wrapText="1"/>
    </xf>
    <xf numFmtId="0" fontId="28" fillId="0" borderId="15" xfId="0" quotePrefix="1" applyFont="1" applyFill="1" applyBorder="1" applyAlignment="1">
      <alignment horizontal="center" vertical="top" wrapText="1"/>
    </xf>
    <xf numFmtId="0" fontId="28" fillId="0" borderId="21" xfId="0" applyFont="1" applyFill="1" applyBorder="1" applyAlignment="1">
      <alignment horizontal="center" vertical="top" wrapText="1"/>
    </xf>
    <xf numFmtId="49" fontId="28" fillId="0" borderId="13" xfId="0" quotePrefix="1" applyNumberFormat="1" applyFont="1" applyFill="1" applyBorder="1" applyAlignment="1">
      <alignment horizontal="center" vertical="top" wrapText="1"/>
    </xf>
    <xf numFmtId="0" fontId="44" fillId="0" borderId="0" xfId="0" applyFont="1" applyFill="1"/>
    <xf numFmtId="0" fontId="36" fillId="0" borderId="15" xfId="0" applyFont="1" applyFill="1" applyBorder="1" applyAlignment="1">
      <alignment horizontal="center" vertical="justify" wrapText="1"/>
    </xf>
    <xf numFmtId="0" fontId="35" fillId="0" borderId="23" xfId="0" applyFont="1" applyFill="1" applyBorder="1" applyAlignment="1">
      <alignment horizontal="center" vertical="top" wrapText="1"/>
    </xf>
    <xf numFmtId="0" fontId="36" fillId="0" borderId="12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horizontal="center" vertical="justify" wrapText="1"/>
    </xf>
    <xf numFmtId="4" fontId="28" fillId="0" borderId="15" xfId="0" applyNumberFormat="1" applyFont="1" applyFill="1" applyBorder="1" applyAlignment="1">
      <alignment horizontal="center" vertical="top" wrapText="1"/>
    </xf>
    <xf numFmtId="0" fontId="27" fillId="0" borderId="0" xfId="0" applyFont="1" applyFill="1" applyAlignment="1">
      <alignment vertical="justify"/>
    </xf>
    <xf numFmtId="0" fontId="44" fillId="0" borderId="0" xfId="0" applyFont="1" applyFill="1" applyAlignment="1">
      <alignment horizontal="right"/>
    </xf>
    <xf numFmtId="0" fontId="27" fillId="0" borderId="0" xfId="0" applyFont="1" applyFill="1" applyAlignment="1">
      <alignment horizontal="center"/>
    </xf>
    <xf numFmtId="49" fontId="28" fillId="0" borderId="23" xfId="0" applyNumberFormat="1" applyFont="1" applyFill="1" applyBorder="1" applyAlignment="1">
      <alignment horizontal="center" vertical="top" wrapText="1"/>
    </xf>
    <xf numFmtId="0" fontId="28" fillId="0" borderId="23" xfId="0" applyFont="1" applyFill="1" applyBorder="1" applyAlignment="1">
      <alignment vertical="top" wrapText="1"/>
    </xf>
    <xf numFmtId="4" fontId="28" fillId="0" borderId="20" xfId="0" applyNumberFormat="1" applyFont="1" applyFill="1" applyBorder="1" applyAlignment="1">
      <alignment horizontal="right" vertical="top" wrapText="1"/>
    </xf>
    <xf numFmtId="4" fontId="27" fillId="0" borderId="5" xfId="0" applyNumberFormat="1" applyFont="1" applyFill="1" applyBorder="1" applyAlignment="1">
      <alignment vertical="top"/>
    </xf>
    <xf numFmtId="4" fontId="27" fillId="0" borderId="1" xfId="0" applyNumberFormat="1" applyFont="1" applyFill="1" applyBorder="1" applyAlignment="1">
      <alignment vertical="top"/>
    </xf>
    <xf numFmtId="49" fontId="36" fillId="0" borderId="13" xfId="0" applyNumberFormat="1" applyFont="1" applyFill="1" applyBorder="1" applyAlignment="1">
      <alignment horizontal="center" vertical="top" wrapText="1"/>
    </xf>
    <xf numFmtId="49" fontId="36" fillId="0" borderId="23" xfId="0" applyNumberFormat="1" applyFont="1" applyFill="1" applyBorder="1" applyAlignment="1">
      <alignment horizontal="center" vertical="top" wrapText="1"/>
    </xf>
    <xf numFmtId="49" fontId="36" fillId="0" borderId="12" xfId="0" applyNumberFormat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/>
    </xf>
    <xf numFmtId="49" fontId="28" fillId="0" borderId="15" xfId="0" applyNumberFormat="1" applyFont="1" applyBorder="1" applyAlignment="1">
      <alignment horizontal="center" vertical="top"/>
    </xf>
    <xf numFmtId="49" fontId="28" fillId="0" borderId="21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9" fillId="0" borderId="0" xfId="0" applyFont="1" applyFill="1" applyAlignment="1">
      <alignment horizontal="right" vertical="justify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right" vertical="justify"/>
    </xf>
    <xf numFmtId="0" fontId="46" fillId="0" borderId="0" xfId="0" applyFont="1" applyFill="1" applyAlignment="1">
      <alignment horizontal="center" vertical="top"/>
    </xf>
    <xf numFmtId="0" fontId="48" fillId="0" borderId="1" xfId="0" applyFont="1" applyFill="1" applyBorder="1" applyAlignment="1">
      <alignment horizontal="right" vertical="justify"/>
    </xf>
    <xf numFmtId="0" fontId="47" fillId="0" borderId="27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right" vertical="justify"/>
    </xf>
    <xf numFmtId="0" fontId="8" fillId="0" borderId="26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right" vertical="justify"/>
    </xf>
    <xf numFmtId="4" fontId="7" fillId="0" borderId="1" xfId="0" applyNumberFormat="1" applyFont="1" applyFill="1" applyBorder="1"/>
    <xf numFmtId="0" fontId="8" fillId="0" borderId="29" xfId="0" applyFont="1" applyFill="1" applyBorder="1" applyAlignment="1">
      <alignment horizontal="center" vertical="top"/>
    </xf>
    <xf numFmtId="4" fontId="49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50" fillId="0" borderId="1" xfId="0" applyNumberFormat="1" applyFont="1" applyFill="1" applyBorder="1"/>
    <xf numFmtId="4" fontId="50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50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50" fillId="0" borderId="0" xfId="0" applyFont="1" applyFill="1" applyAlignment="1">
      <alignment horizontal="right"/>
    </xf>
    <xf numFmtId="0" fontId="50" fillId="0" borderId="0" xfId="0" applyFont="1" applyFill="1" applyBorder="1" applyAlignment="1">
      <alignment horizontal="center" vertical="top"/>
    </xf>
    <xf numFmtId="0" fontId="50" fillId="0" borderId="0" xfId="0" applyFont="1" applyFill="1" applyAlignment="1">
      <alignment horizontal="right" vertical="justify"/>
    </xf>
    <xf numFmtId="0" fontId="51" fillId="0" borderId="0" xfId="0" applyFont="1" applyFill="1" applyAlignment="1">
      <alignment horizontal="right" vertical="justify"/>
    </xf>
    <xf numFmtId="0" fontId="50" fillId="0" borderId="0" xfId="0" applyFont="1" applyFill="1" applyAlignment="1">
      <alignment vertical="justify"/>
    </xf>
    <xf numFmtId="4" fontId="50" fillId="0" borderId="31" xfId="0" applyNumberFormat="1" applyFont="1" applyFill="1" applyBorder="1"/>
    <xf numFmtId="4" fontId="52" fillId="0" borderId="0" xfId="0" applyNumberFormat="1" applyFont="1" applyFill="1" applyAlignment="1">
      <alignment horizontal="right" vertical="justify"/>
    </xf>
    <xf numFmtId="4" fontId="52" fillId="0" borderId="0" xfId="0" applyNumberFormat="1" applyFont="1" applyFill="1"/>
    <xf numFmtId="0" fontId="53" fillId="0" borderId="0" xfId="0" applyFont="1" applyFill="1" applyAlignment="1">
      <alignment horizontal="right" vertical="justify"/>
    </xf>
    <xf numFmtId="4" fontId="54" fillId="0" borderId="0" xfId="0" applyNumberFormat="1" applyFont="1" applyFill="1"/>
    <xf numFmtId="4" fontId="53" fillId="0" borderId="0" xfId="0" applyNumberFormat="1" applyFont="1" applyFill="1"/>
    <xf numFmtId="4" fontId="55" fillId="0" borderId="0" xfId="0" applyNumberFormat="1" applyFont="1" applyFill="1"/>
    <xf numFmtId="0" fontId="53" fillId="0" borderId="0" xfId="0" applyFont="1" applyFill="1"/>
    <xf numFmtId="4" fontId="56" fillId="0" borderId="1" xfId="0" applyNumberFormat="1" applyFont="1" applyFill="1" applyBorder="1"/>
    <xf numFmtId="4" fontId="28" fillId="0" borderId="16" xfId="0" applyNumberFormat="1" applyFont="1" applyFill="1" applyBorder="1" applyAlignment="1">
      <alignment vertical="top" wrapText="1"/>
    </xf>
    <xf numFmtId="4" fontId="28" fillId="0" borderId="1" xfId="0" applyNumberFormat="1" applyFont="1" applyFill="1" applyBorder="1" applyAlignment="1">
      <alignment vertical="top"/>
    </xf>
    <xf numFmtId="4" fontId="27" fillId="0" borderId="1" xfId="0" applyNumberFormat="1" applyFont="1" applyFill="1" applyBorder="1" applyAlignment="1">
      <alignment horizontal="right" vertical="top" wrapText="1"/>
    </xf>
    <xf numFmtId="0" fontId="28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8" fillId="0" borderId="13" xfId="0" applyFont="1" applyFill="1" applyBorder="1" applyAlignment="1">
      <alignment vertical="top" wrapText="1"/>
    </xf>
    <xf numFmtId="0" fontId="36" fillId="0" borderId="23" xfId="0" applyFont="1" applyFill="1" applyBorder="1" applyAlignment="1">
      <alignment vertical="top" wrapText="1"/>
    </xf>
    <xf numFmtId="0" fontId="36" fillId="0" borderId="12" xfId="0" applyFont="1" applyFill="1" applyBorder="1" applyAlignment="1">
      <alignment vertical="top" wrapText="1"/>
    </xf>
    <xf numFmtId="0" fontId="28" fillId="0" borderId="21" xfId="0" applyFont="1" applyFill="1" applyBorder="1" applyAlignment="1">
      <alignment vertical="top" wrapText="1"/>
    </xf>
    <xf numFmtId="0" fontId="28" fillId="0" borderId="2" xfId="0" applyFont="1" applyFill="1" applyBorder="1" applyAlignment="1">
      <alignment vertical="top" wrapText="1"/>
    </xf>
    <xf numFmtId="0" fontId="27" fillId="0" borderId="0" xfId="0" applyFont="1" applyFill="1" applyAlignment="1">
      <alignment vertical="top"/>
    </xf>
    <xf numFmtId="0" fontId="37" fillId="0" borderId="0" xfId="0" applyFont="1" applyFill="1" applyBorder="1" applyAlignment="1">
      <alignment vertical="top"/>
    </xf>
    <xf numFmtId="4" fontId="35" fillId="0" borderId="5" xfId="0" applyNumberFormat="1" applyFont="1" applyFill="1" applyBorder="1" applyAlignment="1">
      <alignment vertical="top"/>
    </xf>
    <xf numFmtId="4" fontId="36" fillId="0" borderId="1" xfId="0" applyNumberFormat="1" applyFont="1" applyFill="1" applyBorder="1" applyAlignment="1">
      <alignment vertical="top"/>
    </xf>
    <xf numFmtId="0" fontId="28" fillId="0" borderId="0" xfId="0" applyFont="1" applyFill="1" applyBorder="1" applyAlignment="1">
      <alignment horizontal="center" vertical="top" wrapText="1"/>
    </xf>
    <xf numFmtId="0" fontId="27" fillId="0" borderId="0" xfId="0" applyFont="1" applyFill="1" applyAlignment="1"/>
    <xf numFmtId="2" fontId="36" fillId="0" borderId="0" xfId="0" applyNumberFormat="1" applyFont="1" applyFill="1" applyAlignment="1">
      <alignment vertical="top" wrapText="1"/>
    </xf>
    <xf numFmtId="49" fontId="36" fillId="0" borderId="0" xfId="0" applyNumberFormat="1" applyFont="1" applyFill="1" applyAlignment="1">
      <alignment vertical="top" wrapText="1"/>
    </xf>
    <xf numFmtId="49" fontId="16" fillId="0" borderId="0" xfId="0" applyNumberFormat="1" applyFont="1" applyFill="1" applyAlignment="1">
      <alignment vertical="top" wrapText="1"/>
    </xf>
    <xf numFmtId="4" fontId="36" fillId="0" borderId="0" xfId="0" applyNumberFormat="1" applyFont="1" applyFill="1"/>
    <xf numFmtId="49" fontId="29" fillId="0" borderId="0" xfId="0" applyNumberFormat="1" applyFont="1" applyFill="1" applyAlignment="1">
      <alignment horizontal="center"/>
    </xf>
    <xf numFmtId="49" fontId="26" fillId="0" borderId="0" xfId="0" applyNumberFormat="1" applyFont="1" applyFill="1"/>
    <xf numFmtId="49" fontId="34" fillId="0" borderId="23" xfId="0" applyNumberFormat="1" applyFont="1" applyFill="1" applyBorder="1" applyAlignment="1">
      <alignment horizontal="center" vertical="center" wrapText="1"/>
    </xf>
    <xf numFmtId="49" fontId="36" fillId="0" borderId="15" xfId="0" quotePrefix="1" applyNumberFormat="1" applyFont="1" applyFill="1" applyBorder="1" applyAlignment="1">
      <alignment horizontal="center" vertical="top" wrapText="1"/>
    </xf>
    <xf numFmtId="49" fontId="36" fillId="0" borderId="23" xfId="0" quotePrefix="1" applyNumberFormat="1" applyFont="1" applyFill="1" applyBorder="1" applyAlignment="1">
      <alignment horizontal="center" vertical="top" wrapText="1"/>
    </xf>
    <xf numFmtId="49" fontId="36" fillId="0" borderId="13" xfId="0" quotePrefix="1" applyNumberFormat="1" applyFont="1" applyFill="1" applyBorder="1" applyAlignment="1">
      <alignment horizontal="center" vertical="top" wrapText="1"/>
    </xf>
    <xf numFmtId="49" fontId="36" fillId="0" borderId="7" xfId="0" quotePrefix="1" applyNumberFormat="1" applyFont="1" applyFill="1" applyBorder="1" applyAlignment="1">
      <alignment horizontal="center" vertical="top" wrapText="1"/>
    </xf>
    <xf numFmtId="49" fontId="36" fillId="0" borderId="12" xfId="0" quotePrefix="1" applyNumberFormat="1" applyFont="1" applyFill="1" applyBorder="1" applyAlignment="1">
      <alignment horizontal="center" vertical="top" wrapText="1"/>
    </xf>
    <xf numFmtId="49" fontId="35" fillId="0" borderId="13" xfId="0" quotePrefix="1" applyNumberFormat="1" applyFont="1" applyFill="1" applyBorder="1" applyAlignment="1">
      <alignment horizontal="center" vertical="top" wrapText="1"/>
    </xf>
    <xf numFmtId="49" fontId="31" fillId="0" borderId="0" xfId="0" applyNumberFormat="1" applyFont="1" applyFill="1" applyAlignment="1">
      <alignment horizontal="center"/>
    </xf>
    <xf numFmtId="49" fontId="27" fillId="0" borderId="0" xfId="0" applyNumberFormat="1" applyFont="1" applyFill="1"/>
    <xf numFmtId="49" fontId="31" fillId="0" borderId="0" xfId="0" applyNumberFormat="1" applyFont="1" applyFill="1"/>
    <xf numFmtId="49" fontId="44" fillId="0" borderId="0" xfId="0" applyNumberFormat="1" applyFont="1" applyFill="1"/>
    <xf numFmtId="49" fontId="37" fillId="0" borderId="0" xfId="0" applyNumberFormat="1" applyFont="1" applyFill="1"/>
    <xf numFmtId="49" fontId="38" fillId="0" borderId="0" xfId="0" applyNumberFormat="1" applyFont="1" applyFill="1"/>
    <xf numFmtId="49" fontId="39" fillId="0" borderId="0" xfId="0" applyNumberFormat="1" applyFont="1" applyFill="1"/>
    <xf numFmtId="49" fontId="57" fillId="0" borderId="7" xfId="0" quotePrefix="1" applyNumberFormat="1" applyFont="1" applyFill="1" applyBorder="1" applyAlignment="1">
      <alignment horizontal="center" vertical="top" wrapText="1"/>
    </xf>
    <xf numFmtId="0" fontId="57" fillId="0" borderId="7" xfId="0" quotePrefix="1" applyFont="1" applyFill="1" applyBorder="1" applyAlignment="1">
      <alignment horizontal="center" vertical="top" wrapText="1"/>
    </xf>
    <xf numFmtId="49" fontId="57" fillId="0" borderId="7" xfId="0" applyNumberFormat="1" applyFont="1" applyFill="1" applyBorder="1" applyAlignment="1">
      <alignment horizontal="center" vertical="top" wrapText="1"/>
    </xf>
    <xf numFmtId="0" fontId="57" fillId="0" borderId="7" xfId="0" applyFont="1" applyFill="1" applyBorder="1" applyAlignment="1">
      <alignment vertical="top" wrapText="1"/>
    </xf>
    <xf numFmtId="0" fontId="57" fillId="0" borderId="7" xfId="0" applyFont="1" applyFill="1" applyBorder="1" applyAlignment="1">
      <alignment horizontal="center" vertical="justify" wrapText="1"/>
    </xf>
    <xf numFmtId="0" fontId="57" fillId="0" borderId="6" xfId="0" applyFont="1" applyFill="1" applyBorder="1" applyAlignment="1">
      <alignment horizontal="center" vertical="top" wrapText="1"/>
    </xf>
    <xf numFmtId="4" fontId="57" fillId="0" borderId="6" xfId="0" applyNumberFormat="1" applyFont="1" applyFill="1" applyBorder="1" applyAlignment="1">
      <alignment horizontal="right" vertical="justify" wrapText="1"/>
    </xf>
    <xf numFmtId="4" fontId="57" fillId="0" borderId="6" xfId="0" applyNumberFormat="1" applyFont="1" applyFill="1" applyBorder="1" applyAlignment="1">
      <alignment horizontal="right" vertical="top" wrapText="1"/>
    </xf>
    <xf numFmtId="0" fontId="36" fillId="0" borderId="15" xfId="0" applyFont="1" applyFill="1" applyBorder="1" applyAlignment="1">
      <alignment horizontal="left" vertical="center" wrapText="1"/>
    </xf>
    <xf numFmtId="4" fontId="35" fillId="0" borderId="0" xfId="0" applyNumberFormat="1" applyFont="1" applyFill="1"/>
    <xf numFmtId="4" fontId="28" fillId="0" borderId="20" xfId="0" applyNumberFormat="1" applyFont="1" applyFill="1" applyBorder="1" applyAlignment="1">
      <alignment horizontal="right" vertical="justify" wrapText="1"/>
    </xf>
    <xf numFmtId="0" fontId="31" fillId="0" borderId="0" xfId="0" applyFont="1" applyFill="1" applyBorder="1" applyAlignment="1">
      <alignment vertical="top" wrapText="1"/>
    </xf>
    <xf numFmtId="4" fontId="41" fillId="2" borderId="31" xfId="0" applyNumberFormat="1" applyFont="1" applyFill="1" applyBorder="1" applyAlignment="1">
      <alignment horizontal="center" vertical="justify"/>
    </xf>
    <xf numFmtId="0" fontId="41" fillId="2" borderId="37" xfId="0" applyFont="1" applyFill="1" applyBorder="1" applyAlignment="1">
      <alignment horizontal="center" vertical="justify"/>
    </xf>
    <xf numFmtId="0" fontId="41" fillId="2" borderId="33" xfId="0" applyFont="1" applyFill="1" applyBorder="1" applyAlignment="1">
      <alignment horizontal="center" vertical="justify"/>
    </xf>
    <xf numFmtId="0" fontId="41" fillId="0" borderId="38" xfId="0" applyFont="1" applyFill="1" applyBorder="1" applyAlignment="1">
      <alignment horizontal="center" vertical="top" wrapText="1"/>
    </xf>
    <xf numFmtId="0" fontId="41" fillId="0" borderId="39" xfId="0" applyFont="1" applyFill="1" applyBorder="1" applyAlignment="1">
      <alignment horizontal="center" vertical="top"/>
    </xf>
    <xf numFmtId="0" fontId="41" fillId="0" borderId="40" xfId="0" applyFont="1" applyFill="1" applyBorder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justify"/>
    </xf>
    <xf numFmtId="0" fontId="27" fillId="0" borderId="0" xfId="0" applyFont="1" applyFill="1" applyAlignment="1">
      <alignment horizontal="center" vertical="top"/>
    </xf>
    <xf numFmtId="0" fontId="32" fillId="0" borderId="41" xfId="0" applyFont="1" applyFill="1" applyBorder="1" applyAlignment="1">
      <alignment horizontal="center" vertical="top" wrapText="1"/>
    </xf>
    <xf numFmtId="0" fontId="32" fillId="0" borderId="21" xfId="0" applyFont="1" applyFill="1" applyBorder="1" applyAlignment="1">
      <alignment horizontal="center" vertical="top" wrapText="1"/>
    </xf>
    <xf numFmtId="0" fontId="33" fillId="0" borderId="41" xfId="0" applyFont="1" applyFill="1" applyBorder="1" applyAlignment="1">
      <alignment horizontal="center" vertical="top" wrapText="1"/>
    </xf>
    <xf numFmtId="0" fontId="33" fillId="0" borderId="21" xfId="0" applyFont="1" applyFill="1" applyBorder="1" applyAlignment="1">
      <alignment horizontal="center" vertical="top" wrapText="1"/>
    </xf>
    <xf numFmtId="0" fontId="33" fillId="0" borderId="36" xfId="0" applyFont="1" applyFill="1" applyBorder="1" applyAlignment="1">
      <alignment horizontal="center" vertical="top" wrapText="1"/>
    </xf>
    <xf numFmtId="0" fontId="33" fillId="0" borderId="14" xfId="0" applyFont="1" applyFill="1" applyBorder="1" applyAlignment="1">
      <alignment horizontal="center" vertical="top" wrapText="1"/>
    </xf>
    <xf numFmtId="49" fontId="32" fillId="0" borderId="41" xfId="0" applyNumberFormat="1" applyFont="1" applyFill="1" applyBorder="1" applyAlignment="1">
      <alignment horizontal="center" vertical="top" wrapText="1"/>
    </xf>
    <xf numFmtId="49" fontId="32" fillId="0" borderId="2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27" fillId="0" borderId="34" xfId="0" applyFont="1" applyFill="1" applyBorder="1" applyAlignment="1">
      <alignment horizontal="center" wrapText="1"/>
    </xf>
    <xf numFmtId="0" fontId="27" fillId="0" borderId="35" xfId="0" applyFont="1" applyFill="1" applyBorder="1" applyAlignment="1">
      <alignment horizontal="center" wrapText="1"/>
    </xf>
    <xf numFmtId="0" fontId="27" fillId="0" borderId="22" xfId="0" applyFont="1" applyFill="1" applyBorder="1" applyAlignment="1">
      <alignment horizontal="center" vertical="justify" wrapText="1"/>
    </xf>
    <xf numFmtId="0" fontId="33" fillId="0" borderId="34" xfId="0" applyFont="1" applyFill="1" applyBorder="1" applyAlignment="1">
      <alignment horizontal="center" vertical="top" wrapText="1"/>
    </xf>
    <xf numFmtId="0" fontId="33" fillId="0" borderId="22" xfId="0" applyFont="1" applyFill="1" applyBorder="1" applyAlignment="1">
      <alignment horizontal="center" vertical="top" wrapText="1"/>
    </xf>
    <xf numFmtId="4" fontId="48" fillId="2" borderId="31" xfId="0" applyNumberFormat="1" applyFont="1" applyFill="1" applyBorder="1" applyAlignment="1">
      <alignment horizontal="center" vertical="justify"/>
    </xf>
    <xf numFmtId="0" fontId="48" fillId="2" borderId="37" xfId="0" applyFont="1" applyFill="1" applyBorder="1" applyAlignment="1">
      <alignment horizontal="center" vertical="justify"/>
    </xf>
    <xf numFmtId="0" fontId="48" fillId="2" borderId="33" xfId="0" applyFont="1" applyFill="1" applyBorder="1" applyAlignment="1">
      <alignment horizontal="center" vertical="justify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BM545"/>
  <sheetViews>
    <sheetView showZeros="0" tabSelected="1" view="pageBreakPreview" topLeftCell="H292" zoomScale="67" zoomScaleNormal="60" zoomScaleSheetLayoutView="67" workbookViewId="0">
      <selection activeCell="L367" sqref="L367:M368"/>
    </sheetView>
  </sheetViews>
  <sheetFormatPr defaultRowHeight="12.75" x14ac:dyDescent="0.25"/>
  <cols>
    <col min="1" max="1" width="5.7109375" style="153" customWidth="1"/>
    <col min="2" max="2" width="11.28515625" style="153" customWidth="1"/>
    <col min="3" max="3" width="15.42578125" style="21" hidden="1" customWidth="1"/>
    <col min="4" max="4" width="20.7109375" style="463" customWidth="1"/>
    <col min="5" max="5" width="17.28515625" style="162" customWidth="1"/>
    <col min="6" max="6" width="16.85546875" style="162" customWidth="1"/>
    <col min="7" max="7" width="68.5703125" style="341" customWidth="1"/>
    <col min="8" max="8" width="48" style="164" customWidth="1"/>
    <col min="9" max="9" width="23.42578125" style="165" customWidth="1"/>
    <col min="10" max="10" width="21.85546875" style="164" customWidth="1"/>
    <col min="11" max="11" width="21.5703125" style="162" customWidth="1"/>
    <col min="12" max="12" width="20.42578125" style="162" customWidth="1"/>
    <col min="13" max="13" width="20.5703125" style="162" customWidth="1"/>
    <col min="14" max="14" width="17.85546875" style="4" hidden="1" customWidth="1"/>
    <col min="15" max="15" width="15.140625" style="1" hidden="1" customWidth="1"/>
    <col min="16" max="16" width="15.28515625" style="1" hidden="1" customWidth="1"/>
    <col min="17" max="17" width="14" style="1" hidden="1" customWidth="1"/>
    <col min="18" max="18" width="14.140625" style="1" hidden="1" customWidth="1"/>
    <col min="19" max="19" width="10.5703125" style="1" hidden="1" customWidth="1"/>
    <col min="20" max="20" width="14" style="1" hidden="1" customWidth="1"/>
    <col min="21" max="21" width="11.140625" style="1" hidden="1" customWidth="1"/>
    <col min="22" max="22" width="12.5703125" style="1" hidden="1" customWidth="1"/>
    <col min="23" max="23" width="10.5703125" style="1" hidden="1" customWidth="1"/>
    <col min="24" max="24" width="12" style="1" hidden="1" customWidth="1"/>
    <col min="25" max="25" width="13.85546875" style="3" hidden="1" customWidth="1"/>
    <col min="26" max="26" width="13.140625" style="1" hidden="1" customWidth="1"/>
    <col min="27" max="27" width="14.5703125" style="1" hidden="1" customWidth="1"/>
    <col min="28" max="28" width="12.28515625" style="1" hidden="1" customWidth="1"/>
    <col min="29" max="29" width="12.85546875" style="1" hidden="1" customWidth="1"/>
    <col min="30" max="30" width="13" style="1" hidden="1" customWidth="1"/>
    <col min="31" max="35" width="0" style="1" hidden="1" customWidth="1"/>
    <col min="36" max="36" width="12.7109375" style="1" hidden="1" customWidth="1"/>
    <col min="37" max="37" width="18.42578125" style="3" hidden="1" customWidth="1"/>
    <col min="38" max="58" width="0" style="1" hidden="1" customWidth="1"/>
    <col min="59" max="16384" width="9.140625" style="162"/>
  </cols>
  <sheetData>
    <row r="1" spans="1:59" ht="18.75" x14ac:dyDescent="0.3">
      <c r="D1" s="496" t="s">
        <v>259</v>
      </c>
      <c r="E1" s="496"/>
      <c r="F1" s="496"/>
      <c r="G1" s="497"/>
      <c r="H1" s="497"/>
      <c r="I1" s="498"/>
      <c r="J1" s="497"/>
      <c r="K1" s="496"/>
      <c r="L1" s="496"/>
      <c r="M1" s="496"/>
    </row>
    <row r="2" spans="1:59" ht="18.75" x14ac:dyDescent="0.3">
      <c r="D2" s="158" t="s">
        <v>260</v>
      </c>
      <c r="E2" s="445"/>
      <c r="F2" s="382"/>
      <c r="G2" s="446"/>
      <c r="H2" s="364"/>
      <c r="I2" s="161"/>
      <c r="J2" s="160"/>
      <c r="K2" s="159"/>
      <c r="L2" s="159"/>
      <c r="M2" s="159"/>
    </row>
    <row r="3" spans="1:59" ht="18.75" x14ac:dyDescent="0.3">
      <c r="D3" s="462" t="s">
        <v>243</v>
      </c>
      <c r="E3" s="445"/>
      <c r="F3" s="382"/>
      <c r="G3" s="446"/>
      <c r="H3" s="364"/>
      <c r="I3" s="161"/>
      <c r="J3" s="160"/>
      <c r="K3" s="159"/>
      <c r="L3" s="159"/>
      <c r="M3" s="159"/>
    </row>
    <row r="4" spans="1:59" ht="17.25" thickBot="1" x14ac:dyDescent="0.3">
      <c r="G4" s="163"/>
      <c r="M4" s="166" t="s">
        <v>5</v>
      </c>
    </row>
    <row r="5" spans="1:59" s="195" customFormat="1" ht="16.5" thickBot="1" x14ac:dyDescent="0.3">
      <c r="A5" s="154"/>
      <c r="B5" s="154"/>
      <c r="C5" s="22"/>
      <c r="D5" s="505" t="s">
        <v>162</v>
      </c>
      <c r="E5" s="499" t="s">
        <v>241</v>
      </c>
      <c r="F5" s="499" t="s">
        <v>242</v>
      </c>
      <c r="G5" s="501" t="s">
        <v>122</v>
      </c>
      <c r="H5" s="501" t="s">
        <v>114</v>
      </c>
      <c r="I5" s="503" t="s">
        <v>115</v>
      </c>
      <c r="J5" s="503" t="s">
        <v>116</v>
      </c>
      <c r="K5" s="503" t="s">
        <v>0</v>
      </c>
      <c r="L5" s="512" t="s">
        <v>1</v>
      </c>
      <c r="M5" s="513"/>
      <c r="N5" s="507" t="s">
        <v>7</v>
      </c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9" s="195" customFormat="1" ht="107.25" customHeight="1" thickBot="1" x14ac:dyDescent="0.3">
      <c r="A6" s="154"/>
      <c r="B6" s="154"/>
      <c r="C6" s="22"/>
      <c r="D6" s="506"/>
      <c r="E6" s="500"/>
      <c r="F6" s="500"/>
      <c r="G6" s="502"/>
      <c r="H6" s="502"/>
      <c r="I6" s="504"/>
      <c r="J6" s="504"/>
      <c r="K6" s="504"/>
      <c r="L6" s="167" t="s">
        <v>117</v>
      </c>
      <c r="M6" s="167" t="s">
        <v>118</v>
      </c>
      <c r="N6" s="70" t="s">
        <v>0</v>
      </c>
      <c r="O6" s="5">
        <v>1343</v>
      </c>
      <c r="P6" s="5">
        <v>1131</v>
      </c>
      <c r="Q6" s="5">
        <v>1133</v>
      </c>
      <c r="R6" s="5">
        <v>1310</v>
      </c>
      <c r="S6" s="5">
        <v>1140</v>
      </c>
      <c r="T6" s="5">
        <v>1320</v>
      </c>
      <c r="U6" s="5">
        <v>1132</v>
      </c>
      <c r="V6" s="5">
        <v>1134</v>
      </c>
      <c r="W6" s="5">
        <v>1165</v>
      </c>
      <c r="X6" s="6" t="s">
        <v>8</v>
      </c>
      <c r="Y6" s="71" t="s">
        <v>1</v>
      </c>
      <c r="Z6" s="5">
        <v>2123</v>
      </c>
      <c r="AA6" s="5">
        <v>1310</v>
      </c>
      <c r="AB6" s="5">
        <v>2131</v>
      </c>
      <c r="AC6" s="5">
        <v>2133</v>
      </c>
      <c r="AD6" s="5">
        <v>2110</v>
      </c>
      <c r="AE6" s="7"/>
      <c r="AF6" s="7"/>
      <c r="AG6" s="7"/>
      <c r="AH6" s="7"/>
      <c r="AI6" s="7"/>
      <c r="AJ6" s="6" t="s">
        <v>8</v>
      </c>
      <c r="AK6" s="7" t="s">
        <v>10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9" s="196" customFormat="1" ht="23.25" hidden="1" customHeight="1" thickBot="1" x14ac:dyDescent="0.3">
      <c r="A7" s="155"/>
      <c r="B7" s="155"/>
      <c r="C7" s="22"/>
      <c r="D7" s="464">
        <v>1</v>
      </c>
      <c r="E7" s="168">
        <v>2</v>
      </c>
      <c r="F7" s="168">
        <v>3</v>
      </c>
      <c r="G7" s="169">
        <v>4</v>
      </c>
      <c r="H7" s="169">
        <v>5</v>
      </c>
      <c r="I7" s="170">
        <v>6</v>
      </c>
      <c r="J7" s="170">
        <v>7</v>
      </c>
      <c r="K7" s="170">
        <v>8</v>
      </c>
      <c r="L7" s="170">
        <v>9</v>
      </c>
      <c r="M7" s="170">
        <v>10</v>
      </c>
      <c r="N7" s="70"/>
      <c r="O7" s="5"/>
      <c r="P7" s="5"/>
      <c r="Q7" s="5"/>
      <c r="R7" s="5"/>
      <c r="S7" s="5"/>
      <c r="T7" s="5"/>
      <c r="U7" s="5"/>
      <c r="V7" s="5"/>
      <c r="W7" s="5"/>
      <c r="X7" s="6"/>
      <c r="Y7" s="71"/>
      <c r="Z7" s="5"/>
      <c r="AA7" s="5"/>
      <c r="AB7" s="5"/>
      <c r="AC7" s="5"/>
      <c r="AD7" s="5"/>
      <c r="AE7" s="7"/>
      <c r="AF7" s="7"/>
      <c r="AG7" s="7"/>
      <c r="AH7" s="7"/>
      <c r="AI7" s="7"/>
      <c r="AJ7" s="6"/>
      <c r="AK7" s="7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9" s="197" customFormat="1" ht="57" customHeight="1" x14ac:dyDescent="0.3">
      <c r="A8" s="156" t="str">
        <f>IF(J8=0,"","п")</f>
        <v>п</v>
      </c>
      <c r="B8" s="157"/>
      <c r="C8" s="28"/>
      <c r="D8" s="172"/>
      <c r="E8" s="171"/>
      <c r="F8" s="172"/>
      <c r="G8" s="173"/>
      <c r="H8" s="174" t="s">
        <v>273</v>
      </c>
      <c r="I8" s="175" t="s">
        <v>261</v>
      </c>
      <c r="J8" s="176">
        <f>+K8+L8</f>
        <v>8596705</v>
      </c>
      <c r="K8" s="177">
        <f>+K9+K14</f>
        <v>8596705</v>
      </c>
      <c r="L8" s="178">
        <f>+L9+L14</f>
        <v>0</v>
      </c>
      <c r="M8" s="178">
        <f>+M9+M14</f>
        <v>0</v>
      </c>
      <c r="N8" s="30">
        <f>SUM(O8:W8)</f>
        <v>0</v>
      </c>
      <c r="O8" s="31">
        <f t="shared" ref="O8:X8" si="0">+O9+O14</f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1">
        <f t="shared" si="0"/>
        <v>0</v>
      </c>
      <c r="T8" s="31">
        <f t="shared" si="0"/>
        <v>0</v>
      </c>
      <c r="U8" s="31">
        <f t="shared" si="0"/>
        <v>0</v>
      </c>
      <c r="V8" s="31">
        <f t="shared" si="0"/>
        <v>0</v>
      </c>
      <c r="W8" s="31">
        <f t="shared" si="0"/>
        <v>0</v>
      </c>
      <c r="X8" s="31">
        <f t="shared" si="0"/>
        <v>0</v>
      </c>
      <c r="Y8" s="32">
        <f>SUM(Z8:AI8)</f>
        <v>0</v>
      </c>
      <c r="Z8" s="31">
        <f t="shared" ref="Z8:AJ8" si="1">+Z9+Z14</f>
        <v>0</v>
      </c>
      <c r="AA8" s="31">
        <f t="shared" si="1"/>
        <v>0</v>
      </c>
      <c r="AB8" s="31">
        <f t="shared" si="1"/>
        <v>0</v>
      </c>
      <c r="AC8" s="31">
        <f t="shared" si="1"/>
        <v>0</v>
      </c>
      <c r="AD8" s="31">
        <f t="shared" si="1"/>
        <v>0</v>
      </c>
      <c r="AE8" s="31">
        <f t="shared" si="1"/>
        <v>0</v>
      </c>
      <c r="AF8" s="31">
        <f t="shared" si="1"/>
        <v>0</v>
      </c>
      <c r="AG8" s="31">
        <f t="shared" si="1"/>
        <v>0</v>
      </c>
      <c r="AH8" s="31">
        <f t="shared" si="1"/>
        <v>0</v>
      </c>
      <c r="AI8" s="31">
        <f t="shared" si="1"/>
        <v>0</v>
      </c>
      <c r="AJ8" s="31">
        <f t="shared" si="1"/>
        <v>0</v>
      </c>
      <c r="AK8" s="32">
        <f>Y8+N8</f>
        <v>0</v>
      </c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</row>
    <row r="9" spans="1:59" s="199" customFormat="1" ht="19.5" x14ac:dyDescent="0.3">
      <c r="A9" s="156" t="str">
        <f t="shared" ref="A9:C90" si="2">IF(J9=0,"","п")</f>
        <v>п</v>
      </c>
      <c r="B9" s="157" t="s">
        <v>178</v>
      </c>
      <c r="C9" s="103"/>
      <c r="D9" s="179" t="s">
        <v>29</v>
      </c>
      <c r="E9" s="180"/>
      <c r="F9" s="180"/>
      <c r="G9" s="181" t="s">
        <v>3</v>
      </c>
      <c r="H9" s="182"/>
      <c r="I9" s="183"/>
      <c r="J9" s="184">
        <f t="shared" ref="J9:J75" si="3">+K9+L9</f>
        <v>4995530</v>
      </c>
      <c r="K9" s="185">
        <f>K10</f>
        <v>4995530</v>
      </c>
      <c r="L9" s="186">
        <f>L10</f>
        <v>0</v>
      </c>
      <c r="M9" s="186">
        <f>M10</f>
        <v>0</v>
      </c>
      <c r="N9" s="30">
        <f>SUM(O9:W9)</f>
        <v>0</v>
      </c>
      <c r="O9" s="63"/>
      <c r="P9" s="63"/>
      <c r="Q9" s="63"/>
      <c r="R9" s="63"/>
      <c r="S9" s="63"/>
      <c r="T9" s="63"/>
      <c r="U9" s="63"/>
      <c r="V9" s="63"/>
      <c r="W9" s="63"/>
      <c r="X9" s="63"/>
      <c r="Y9" s="32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32">
        <f>Y9+N9</f>
        <v>0</v>
      </c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198"/>
    </row>
    <row r="10" spans="1:59" s="199" customFormat="1" ht="19.5" x14ac:dyDescent="0.3">
      <c r="A10" s="156" t="str">
        <f t="shared" si="2"/>
        <v>п</v>
      </c>
      <c r="B10" s="157" t="s">
        <v>178</v>
      </c>
      <c r="C10" s="103"/>
      <c r="D10" s="179" t="s">
        <v>28</v>
      </c>
      <c r="E10" s="180"/>
      <c r="F10" s="180"/>
      <c r="G10" s="181" t="s">
        <v>3</v>
      </c>
      <c r="H10" s="182"/>
      <c r="I10" s="183"/>
      <c r="J10" s="184">
        <f>+K10+L10</f>
        <v>4995530</v>
      </c>
      <c r="K10" s="185">
        <f>SUM(K11)</f>
        <v>4995530</v>
      </c>
      <c r="L10" s="185">
        <f>SUM(L11)</f>
        <v>0</v>
      </c>
      <c r="M10" s="185">
        <f>SUM(M11)</f>
        <v>0</v>
      </c>
      <c r="N10" s="30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32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32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198"/>
    </row>
    <row r="11" spans="1:59" s="197" customFormat="1" ht="37.5" x14ac:dyDescent="0.3">
      <c r="A11" s="156" t="str">
        <f t="shared" si="2"/>
        <v>п</v>
      </c>
      <c r="B11" s="157" t="s">
        <v>178</v>
      </c>
      <c r="C11" s="103" t="s">
        <v>149</v>
      </c>
      <c r="D11" s="212" t="s">
        <v>186</v>
      </c>
      <c r="E11" s="187" t="s">
        <v>187</v>
      </c>
      <c r="F11" s="188" t="s">
        <v>159</v>
      </c>
      <c r="G11" s="189" t="s">
        <v>86</v>
      </c>
      <c r="H11" s="190"/>
      <c r="I11" s="191"/>
      <c r="J11" s="192">
        <f t="shared" si="3"/>
        <v>4995530</v>
      </c>
      <c r="K11" s="193">
        <f>2721406+20124+(1547000+300000-580000-470000+830000)+627000</f>
        <v>4995530</v>
      </c>
      <c r="L11" s="194"/>
      <c r="M11" s="194"/>
      <c r="N11" s="30">
        <f>SUM(O11:W11)</f>
        <v>0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2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2">
        <f>Y11+N11</f>
        <v>0</v>
      </c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198"/>
    </row>
    <row r="12" spans="1:59" s="87" customFormat="1" ht="46.5" customHeight="1" x14ac:dyDescent="0.3">
      <c r="A12" s="27" t="str">
        <f t="shared" si="2"/>
        <v>п</v>
      </c>
      <c r="B12" s="157" t="s">
        <v>178</v>
      </c>
      <c r="C12" s="27" t="str">
        <f t="shared" si="2"/>
        <v/>
      </c>
      <c r="D12" s="465"/>
      <c r="E12" s="366"/>
      <c r="F12" s="289"/>
      <c r="G12" s="219" t="s">
        <v>22</v>
      </c>
      <c r="H12" s="374"/>
      <c r="I12" s="122"/>
      <c r="J12" s="222">
        <f t="shared" si="3"/>
        <v>1327000</v>
      </c>
      <c r="K12" s="293">
        <f>1547000-580000-470000+830000</f>
        <v>1327000</v>
      </c>
      <c r="L12" s="365"/>
      <c r="M12" s="365"/>
      <c r="N12" s="84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6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6"/>
      <c r="BG12" s="107"/>
    </row>
    <row r="13" spans="1:59" s="87" customFormat="1" ht="45.75" customHeight="1" x14ac:dyDescent="0.3">
      <c r="A13" s="27" t="str">
        <f t="shared" ref="A13" si="4">IF(J13=0,"","п")</f>
        <v>п</v>
      </c>
      <c r="B13" s="157" t="s">
        <v>178</v>
      </c>
      <c r="C13" s="104"/>
      <c r="D13" s="465"/>
      <c r="E13" s="366"/>
      <c r="F13" s="289"/>
      <c r="G13" s="219" t="s">
        <v>145</v>
      </c>
      <c r="H13" s="374"/>
      <c r="I13" s="122"/>
      <c r="J13" s="222">
        <f t="shared" si="3"/>
        <v>300000</v>
      </c>
      <c r="K13" s="293">
        <v>300000</v>
      </c>
      <c r="L13" s="365"/>
      <c r="M13" s="365"/>
      <c r="N13" s="84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6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6"/>
      <c r="BG13" s="107"/>
    </row>
    <row r="14" spans="1:59" s="199" customFormat="1" ht="39" x14ac:dyDescent="0.3">
      <c r="A14" s="156" t="str">
        <f t="shared" si="2"/>
        <v>п</v>
      </c>
      <c r="B14" s="157" t="s">
        <v>179</v>
      </c>
      <c r="C14" s="28"/>
      <c r="D14" s="200" t="s">
        <v>30</v>
      </c>
      <c r="E14" s="200"/>
      <c r="F14" s="200"/>
      <c r="G14" s="201" t="s">
        <v>18</v>
      </c>
      <c r="H14" s="202"/>
      <c r="I14" s="203"/>
      <c r="J14" s="204">
        <f>+K14+L14</f>
        <v>3601175</v>
      </c>
      <c r="K14" s="205">
        <f>+K15</f>
        <v>3601175</v>
      </c>
      <c r="L14" s="206">
        <f>+L15</f>
        <v>0</v>
      </c>
      <c r="M14" s="206">
        <f>+M15</f>
        <v>0</v>
      </c>
      <c r="N14" s="30">
        <f>SUM(O14:W14)</f>
        <v>0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32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32">
        <f>Y14+N14</f>
        <v>0</v>
      </c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198"/>
    </row>
    <row r="15" spans="1:59" s="199" customFormat="1" ht="39" x14ac:dyDescent="0.3">
      <c r="A15" s="156" t="str">
        <f t="shared" si="2"/>
        <v>п</v>
      </c>
      <c r="C15" s="28"/>
      <c r="D15" s="200" t="s">
        <v>31</v>
      </c>
      <c r="E15" s="200"/>
      <c r="F15" s="200"/>
      <c r="G15" s="201" t="s">
        <v>18</v>
      </c>
      <c r="H15" s="202"/>
      <c r="I15" s="203"/>
      <c r="J15" s="204">
        <f t="shared" si="3"/>
        <v>3601175</v>
      </c>
      <c r="K15" s="205">
        <f>SUM(K16:K22)</f>
        <v>3601175</v>
      </c>
      <c r="L15" s="205">
        <f>SUM(L16:L22)</f>
        <v>0</v>
      </c>
      <c r="M15" s="205">
        <f>SUM(M16:M22)</f>
        <v>0</v>
      </c>
      <c r="N15" s="30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32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32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198"/>
    </row>
    <row r="16" spans="1:59" s="33" customFormat="1" ht="21.95" hidden="1" customHeight="1" x14ac:dyDescent="0.25">
      <c r="A16" s="27" t="str">
        <f t="shared" si="2"/>
        <v/>
      </c>
      <c r="B16" s="28" t="s">
        <v>179</v>
      </c>
      <c r="C16" s="28"/>
      <c r="D16" s="212"/>
      <c r="E16" s="187"/>
      <c r="F16" s="188"/>
      <c r="G16" s="189"/>
      <c r="H16" s="216"/>
      <c r="I16" s="111"/>
      <c r="J16" s="111">
        <f t="shared" si="3"/>
        <v>0</v>
      </c>
      <c r="K16" s="37"/>
      <c r="L16" s="35"/>
      <c r="M16" s="35"/>
      <c r="N16" s="30">
        <f>SUM(O16:W16)</f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2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2">
        <f>Y16+N16</f>
        <v>0</v>
      </c>
      <c r="BG16" s="107"/>
    </row>
    <row r="17" spans="1:59" s="197" customFormat="1" ht="37.5" x14ac:dyDescent="0.3">
      <c r="A17" s="156" t="str">
        <f t="shared" si="2"/>
        <v>п</v>
      </c>
      <c r="B17" s="157" t="s">
        <v>179</v>
      </c>
      <c r="C17" s="28"/>
      <c r="D17" s="212" t="s">
        <v>32</v>
      </c>
      <c r="E17" s="187" t="s">
        <v>33</v>
      </c>
      <c r="F17" s="188" t="s">
        <v>173</v>
      </c>
      <c r="G17" s="189" t="s">
        <v>34</v>
      </c>
      <c r="H17" s="190"/>
      <c r="I17" s="191"/>
      <c r="J17" s="192">
        <f t="shared" si="3"/>
        <v>16740</v>
      </c>
      <c r="K17" s="193">
        <v>16740</v>
      </c>
      <c r="L17" s="207"/>
      <c r="M17" s="207"/>
      <c r="N17" s="30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2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2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198"/>
    </row>
    <row r="18" spans="1:59" s="197" customFormat="1" ht="56.25" x14ac:dyDescent="0.3">
      <c r="A18" s="156" t="str">
        <f t="shared" si="2"/>
        <v>п</v>
      </c>
      <c r="B18" s="157" t="s">
        <v>179</v>
      </c>
      <c r="C18" s="28"/>
      <c r="D18" s="212" t="s">
        <v>35</v>
      </c>
      <c r="E18" s="187" t="s">
        <v>36</v>
      </c>
      <c r="F18" s="188" t="s">
        <v>173</v>
      </c>
      <c r="G18" s="189" t="s">
        <v>174</v>
      </c>
      <c r="H18" s="190"/>
      <c r="I18" s="191"/>
      <c r="J18" s="192">
        <f t="shared" si="3"/>
        <v>2865060</v>
      </c>
      <c r="K18" s="193">
        <v>2865060</v>
      </c>
      <c r="L18" s="207"/>
      <c r="M18" s="207"/>
      <c r="N18" s="30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2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2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198"/>
    </row>
    <row r="19" spans="1:59" s="197" customFormat="1" ht="37.5" x14ac:dyDescent="0.3">
      <c r="A19" s="156" t="str">
        <f t="shared" si="2"/>
        <v>п</v>
      </c>
      <c r="B19" s="157" t="s">
        <v>179</v>
      </c>
      <c r="C19" s="28"/>
      <c r="D19" s="212" t="s">
        <v>37</v>
      </c>
      <c r="E19" s="187" t="s">
        <v>38</v>
      </c>
      <c r="F19" s="188" t="s">
        <v>173</v>
      </c>
      <c r="G19" s="189" t="s">
        <v>175</v>
      </c>
      <c r="H19" s="190"/>
      <c r="I19" s="191"/>
      <c r="J19" s="192">
        <f t="shared" si="3"/>
        <v>43000</v>
      </c>
      <c r="K19" s="193">
        <v>43000</v>
      </c>
      <c r="L19" s="207"/>
      <c r="M19" s="207"/>
      <c r="N19" s="30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2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2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198"/>
    </row>
    <row r="20" spans="1:59" s="197" customFormat="1" ht="84" customHeight="1" x14ac:dyDescent="0.3">
      <c r="A20" s="156" t="str">
        <f t="shared" si="2"/>
        <v>п</v>
      </c>
      <c r="B20" s="157" t="s">
        <v>179</v>
      </c>
      <c r="C20" s="28"/>
      <c r="D20" s="212" t="s">
        <v>39</v>
      </c>
      <c r="E20" s="187" t="s">
        <v>40</v>
      </c>
      <c r="F20" s="188" t="s">
        <v>169</v>
      </c>
      <c r="G20" s="189" t="s">
        <v>130</v>
      </c>
      <c r="H20" s="208"/>
      <c r="I20" s="209"/>
      <c r="J20" s="192">
        <f t="shared" si="3"/>
        <v>213000</v>
      </c>
      <c r="K20" s="193">
        <f>72900+140100</f>
        <v>213000</v>
      </c>
      <c r="L20" s="207">
        <f>+L22</f>
        <v>0</v>
      </c>
      <c r="M20" s="207">
        <f>+M22</f>
        <v>0</v>
      </c>
      <c r="N20" s="30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2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2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198"/>
    </row>
    <row r="21" spans="1:59" s="197" customFormat="1" ht="38.25" thickBot="1" x14ac:dyDescent="0.35">
      <c r="A21" s="156" t="str">
        <f t="shared" si="2"/>
        <v>п</v>
      </c>
      <c r="B21" s="157" t="s">
        <v>179</v>
      </c>
      <c r="C21" s="28"/>
      <c r="D21" s="212" t="s">
        <v>188</v>
      </c>
      <c r="E21" s="187" t="s">
        <v>187</v>
      </c>
      <c r="F21" s="188" t="s">
        <v>159</v>
      </c>
      <c r="G21" s="189" t="s">
        <v>86</v>
      </c>
      <c r="H21" s="190"/>
      <c r="I21" s="191"/>
      <c r="J21" s="192">
        <f>+K21+L21</f>
        <v>463375</v>
      </c>
      <c r="K21" s="193">
        <v>463375</v>
      </c>
      <c r="L21" s="207"/>
      <c r="M21" s="207"/>
      <c r="N21" s="30">
        <f>SUM(O21:W21)</f>
        <v>0</v>
      </c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2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2">
        <f>Y21+N21</f>
        <v>0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198"/>
    </row>
    <row r="22" spans="1:59" s="33" customFormat="1" ht="19.5" hidden="1" thickBot="1" x14ac:dyDescent="0.3">
      <c r="A22" s="27" t="str">
        <f t="shared" si="2"/>
        <v/>
      </c>
      <c r="B22" s="28" t="s">
        <v>179</v>
      </c>
      <c r="C22" s="28"/>
      <c r="D22" s="212"/>
      <c r="E22" s="187"/>
      <c r="F22" s="188"/>
      <c r="G22" s="189"/>
      <c r="H22" s="190"/>
      <c r="I22" s="111"/>
      <c r="J22" s="129">
        <f t="shared" si="3"/>
        <v>0</v>
      </c>
      <c r="K22" s="37"/>
      <c r="L22" s="35"/>
      <c r="M22" s="35"/>
      <c r="N22" s="30">
        <f>SUM(O22:W22)</f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2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2">
        <f>Y22+N22</f>
        <v>0</v>
      </c>
      <c r="BG22" s="107"/>
    </row>
    <row r="23" spans="1:59" s="197" customFormat="1" ht="113.25" customHeight="1" x14ac:dyDescent="0.3">
      <c r="A23" s="156" t="str">
        <f t="shared" si="2"/>
        <v>п</v>
      </c>
      <c r="B23" s="157"/>
      <c r="C23" s="28"/>
      <c r="D23" s="172"/>
      <c r="E23" s="171"/>
      <c r="F23" s="172"/>
      <c r="G23" s="173"/>
      <c r="H23" s="174" t="s">
        <v>240</v>
      </c>
      <c r="I23" s="175" t="s">
        <v>129</v>
      </c>
      <c r="J23" s="176">
        <f t="shared" si="3"/>
        <v>16339645</v>
      </c>
      <c r="K23" s="177">
        <f t="shared" ref="K23:M24" si="5">+K24</f>
        <v>15639645</v>
      </c>
      <c r="L23" s="177">
        <f t="shared" si="5"/>
        <v>700000</v>
      </c>
      <c r="M23" s="177">
        <f t="shared" si="5"/>
        <v>700000</v>
      </c>
      <c r="N23" s="30">
        <f>SUM(O23:W23)</f>
        <v>0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2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2">
        <f>Y23+N23</f>
        <v>0</v>
      </c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198"/>
    </row>
    <row r="24" spans="1:59" s="199" customFormat="1" ht="19.5" x14ac:dyDescent="0.3">
      <c r="A24" s="156" t="str">
        <f t="shared" si="2"/>
        <v>п</v>
      </c>
      <c r="B24" s="157" t="s">
        <v>178</v>
      </c>
      <c r="C24" s="103"/>
      <c r="D24" s="179" t="s">
        <v>29</v>
      </c>
      <c r="E24" s="179"/>
      <c r="F24" s="179"/>
      <c r="G24" s="181" t="s">
        <v>3</v>
      </c>
      <c r="H24" s="182"/>
      <c r="I24" s="183"/>
      <c r="J24" s="184">
        <f t="shared" si="3"/>
        <v>16339645</v>
      </c>
      <c r="K24" s="185">
        <f t="shared" si="5"/>
        <v>15639645</v>
      </c>
      <c r="L24" s="185">
        <f t="shared" si="5"/>
        <v>700000</v>
      </c>
      <c r="M24" s="185">
        <f t="shared" si="5"/>
        <v>700000</v>
      </c>
      <c r="N24" s="30">
        <f>SUM(O24:W24)</f>
        <v>0</v>
      </c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>
        <f>Y24+N24</f>
        <v>0</v>
      </c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198"/>
    </row>
    <row r="25" spans="1:59" s="199" customFormat="1" ht="19.5" x14ac:dyDescent="0.3">
      <c r="A25" s="156" t="str">
        <f t="shared" si="2"/>
        <v>п</v>
      </c>
      <c r="B25" s="157" t="s">
        <v>178</v>
      </c>
      <c r="C25" s="103"/>
      <c r="D25" s="179" t="s">
        <v>28</v>
      </c>
      <c r="E25" s="179"/>
      <c r="F25" s="179"/>
      <c r="G25" s="181" t="s">
        <v>3</v>
      </c>
      <c r="H25" s="182"/>
      <c r="I25" s="183"/>
      <c r="J25" s="184">
        <f>+K25+L25</f>
        <v>16339645</v>
      </c>
      <c r="K25" s="185">
        <f>SUM(K26)+K29</f>
        <v>15639645</v>
      </c>
      <c r="L25" s="185">
        <f>SUM(L26)+L29</f>
        <v>700000</v>
      </c>
      <c r="M25" s="185">
        <f>SUM(M26)+M29</f>
        <v>700000</v>
      </c>
      <c r="N25" s="30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198"/>
    </row>
    <row r="26" spans="1:59" s="197" customFormat="1" ht="38.25" thickBot="1" x14ac:dyDescent="0.35">
      <c r="A26" s="156" t="str">
        <f>IF(J26=0,"","п")</f>
        <v>п</v>
      </c>
      <c r="B26" s="157" t="s">
        <v>178</v>
      </c>
      <c r="C26" s="103"/>
      <c r="D26" s="212" t="s">
        <v>44</v>
      </c>
      <c r="E26" s="210" t="s">
        <v>172</v>
      </c>
      <c r="F26" s="211" t="s">
        <v>161</v>
      </c>
      <c r="G26" s="189" t="s">
        <v>170</v>
      </c>
      <c r="H26" s="190"/>
      <c r="I26" s="191"/>
      <c r="J26" s="192">
        <f>+K26+L26</f>
        <v>16339645</v>
      </c>
      <c r="K26" s="193">
        <v>15639645</v>
      </c>
      <c r="L26" s="207">
        <v>700000</v>
      </c>
      <c r="M26" s="207">
        <v>700000</v>
      </c>
      <c r="N26" s="30">
        <f>SUM(O26:W26)</f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2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2">
        <f>Y26+N26</f>
        <v>0</v>
      </c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198"/>
    </row>
    <row r="27" spans="1:59" s="87" customFormat="1" ht="38.25" hidden="1" thickBot="1" x14ac:dyDescent="0.35">
      <c r="A27" s="149" t="str">
        <f>IF(J27=0,"","п")</f>
        <v/>
      </c>
      <c r="B27" s="101" t="s">
        <v>178</v>
      </c>
      <c r="C27" s="104"/>
      <c r="D27" s="466"/>
      <c r="E27" s="368"/>
      <c r="F27" s="388"/>
      <c r="G27" s="219" t="s">
        <v>217</v>
      </c>
      <c r="H27" s="286"/>
      <c r="I27" s="125"/>
      <c r="J27" s="130">
        <f>+K27+L27</f>
        <v>0</v>
      </c>
      <c r="K27" s="34"/>
      <c r="L27" s="150"/>
      <c r="M27" s="150"/>
      <c r="N27" s="84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6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6"/>
      <c r="BG27" s="107"/>
    </row>
    <row r="28" spans="1:59" s="87" customFormat="1" ht="19.5" hidden="1" thickBot="1" x14ac:dyDescent="0.35">
      <c r="A28" s="149" t="str">
        <f t="shared" si="2"/>
        <v/>
      </c>
      <c r="B28" s="101" t="s">
        <v>178</v>
      </c>
      <c r="C28" s="104"/>
      <c r="D28" s="467"/>
      <c r="E28" s="368"/>
      <c r="F28" s="388"/>
      <c r="G28" s="448" t="s">
        <v>22</v>
      </c>
      <c r="H28" s="242"/>
      <c r="I28" s="114"/>
      <c r="J28" s="134">
        <f t="shared" si="3"/>
        <v>0</v>
      </c>
      <c r="K28" s="91"/>
      <c r="L28" s="152"/>
      <c r="M28" s="152"/>
      <c r="N28" s="84">
        <f>SUM(O28:W28)</f>
        <v>0</v>
      </c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6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6">
        <f>Y28+N28</f>
        <v>0</v>
      </c>
      <c r="BG28" s="107"/>
    </row>
    <row r="29" spans="1:59" s="33" customFormat="1" ht="57" hidden="1" thickBot="1" x14ac:dyDescent="0.3">
      <c r="A29" s="149" t="str">
        <f>IF(J29=0,"","п")</f>
        <v/>
      </c>
      <c r="B29" s="101" t="s">
        <v>178</v>
      </c>
      <c r="C29" s="103"/>
      <c r="D29" s="188" t="s">
        <v>254</v>
      </c>
      <c r="E29" s="187">
        <v>7363</v>
      </c>
      <c r="F29" s="188" t="s">
        <v>153</v>
      </c>
      <c r="G29" s="189" t="s">
        <v>97</v>
      </c>
      <c r="H29" s="190"/>
      <c r="I29" s="111"/>
      <c r="J29" s="129">
        <f>+K29+L29</f>
        <v>0</v>
      </c>
      <c r="K29" s="37"/>
      <c r="L29" s="37"/>
      <c r="M29" s="37"/>
      <c r="N29" s="30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2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2"/>
      <c r="BG29" s="107"/>
    </row>
    <row r="30" spans="1:59" s="87" customFormat="1" ht="19.5" hidden="1" thickBot="1" x14ac:dyDescent="0.35">
      <c r="A30" s="149" t="str">
        <f>IF(J30=0,"","п")</f>
        <v/>
      </c>
      <c r="B30" s="101" t="s">
        <v>178</v>
      </c>
      <c r="C30" s="104"/>
      <c r="D30" s="468"/>
      <c r="E30" s="217"/>
      <c r="F30" s="218"/>
      <c r="G30" s="241" t="s">
        <v>22</v>
      </c>
      <c r="H30" s="286"/>
      <c r="I30" s="125"/>
      <c r="J30" s="130">
        <f>+K30+L30</f>
        <v>0</v>
      </c>
      <c r="K30" s="34"/>
      <c r="L30" s="150"/>
      <c r="M30" s="150"/>
      <c r="N30" s="84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6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6"/>
      <c r="BG30" s="107"/>
    </row>
    <row r="31" spans="1:59" s="87" customFormat="1" ht="19.5" hidden="1" thickBot="1" x14ac:dyDescent="0.35">
      <c r="A31" s="149"/>
      <c r="B31" s="101"/>
      <c r="C31" s="104"/>
      <c r="D31" s="466"/>
      <c r="E31" s="367"/>
      <c r="F31" s="389"/>
      <c r="G31" s="219"/>
      <c r="H31" s="374"/>
      <c r="I31" s="122"/>
      <c r="J31" s="135"/>
      <c r="K31" s="83"/>
      <c r="L31" s="83"/>
      <c r="M31" s="83"/>
      <c r="N31" s="84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6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6"/>
      <c r="BG31" s="107"/>
    </row>
    <row r="32" spans="1:59" s="33" customFormat="1" ht="113.25" hidden="1" thickBot="1" x14ac:dyDescent="0.3">
      <c r="A32" s="27" t="str">
        <f t="shared" si="2"/>
        <v/>
      </c>
      <c r="B32" s="28"/>
      <c r="C32" s="28"/>
      <c r="D32" s="172"/>
      <c r="E32" s="171"/>
      <c r="F32" s="172"/>
      <c r="G32" s="173"/>
      <c r="H32" s="174" t="s">
        <v>127</v>
      </c>
      <c r="I32" s="118" t="s">
        <v>128</v>
      </c>
      <c r="J32" s="127">
        <f t="shared" si="3"/>
        <v>0</v>
      </c>
      <c r="K32" s="29">
        <f>+K33</f>
        <v>0</v>
      </c>
      <c r="L32" s="29">
        <f>+L33</f>
        <v>0</v>
      </c>
      <c r="M32" s="29">
        <f>+M33</f>
        <v>0</v>
      </c>
      <c r="N32" s="30">
        <f>SUM(O32:W32)</f>
        <v>0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2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2">
        <f>Y32+N32</f>
        <v>0</v>
      </c>
      <c r="BG32" s="107"/>
    </row>
    <row r="33" spans="1:59" s="44" customFormat="1" ht="20.25" hidden="1" thickBot="1" x14ac:dyDescent="0.3">
      <c r="A33" s="27" t="str">
        <f t="shared" si="2"/>
        <v/>
      </c>
      <c r="B33" s="28" t="s">
        <v>178</v>
      </c>
      <c r="C33" s="103"/>
      <c r="D33" s="179" t="s">
        <v>29</v>
      </c>
      <c r="E33" s="179"/>
      <c r="F33" s="179"/>
      <c r="G33" s="181" t="s">
        <v>3</v>
      </c>
      <c r="H33" s="182"/>
      <c r="I33" s="119"/>
      <c r="J33" s="128">
        <f t="shared" si="3"/>
        <v>0</v>
      </c>
      <c r="K33" s="62">
        <f t="shared" ref="K33:M34" si="6">SUM(K34)</f>
        <v>0</v>
      </c>
      <c r="L33" s="62">
        <f t="shared" si="6"/>
        <v>0</v>
      </c>
      <c r="M33" s="62">
        <f t="shared" si="6"/>
        <v>0</v>
      </c>
      <c r="N33" s="30">
        <f>SUM(O33:W33)</f>
        <v>0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>
        <f>Y33+N33</f>
        <v>0</v>
      </c>
      <c r="BG33" s="107"/>
    </row>
    <row r="34" spans="1:59" s="44" customFormat="1" ht="20.25" hidden="1" thickBot="1" x14ac:dyDescent="0.3">
      <c r="A34" s="27" t="str">
        <f t="shared" si="2"/>
        <v/>
      </c>
      <c r="B34" s="28" t="s">
        <v>178</v>
      </c>
      <c r="C34" s="103"/>
      <c r="D34" s="179" t="s">
        <v>28</v>
      </c>
      <c r="E34" s="179"/>
      <c r="F34" s="179"/>
      <c r="G34" s="181" t="s">
        <v>3</v>
      </c>
      <c r="H34" s="182"/>
      <c r="I34" s="119"/>
      <c r="J34" s="128">
        <f t="shared" si="3"/>
        <v>0</v>
      </c>
      <c r="K34" s="62">
        <f t="shared" si="6"/>
        <v>0</v>
      </c>
      <c r="L34" s="62">
        <f t="shared" si="6"/>
        <v>0</v>
      </c>
      <c r="M34" s="62">
        <f t="shared" si="6"/>
        <v>0</v>
      </c>
      <c r="N34" s="30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BG34" s="107"/>
    </row>
    <row r="35" spans="1:59" s="33" customFormat="1" ht="38.25" hidden="1" thickBot="1" x14ac:dyDescent="0.3">
      <c r="A35" s="27" t="str">
        <f t="shared" si="2"/>
        <v/>
      </c>
      <c r="B35" s="28" t="s">
        <v>178</v>
      </c>
      <c r="C35" s="105"/>
      <c r="D35" s="212" t="s">
        <v>44</v>
      </c>
      <c r="E35" s="212" t="s">
        <v>172</v>
      </c>
      <c r="F35" s="212" t="s">
        <v>161</v>
      </c>
      <c r="G35" s="189" t="s">
        <v>170</v>
      </c>
      <c r="H35" s="190"/>
      <c r="I35" s="111"/>
      <c r="J35" s="129">
        <f t="shared" si="3"/>
        <v>0</v>
      </c>
      <c r="K35" s="37"/>
      <c r="L35" s="37"/>
      <c r="M35" s="37"/>
      <c r="N35" s="67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BG35" s="107"/>
    </row>
    <row r="36" spans="1:59" s="197" customFormat="1" ht="138" customHeight="1" x14ac:dyDescent="0.3">
      <c r="A36" s="156" t="str">
        <f>IF(J36=0,"","п")</f>
        <v>п</v>
      </c>
      <c r="B36" s="157"/>
      <c r="C36" s="28"/>
      <c r="D36" s="172"/>
      <c r="E36" s="171"/>
      <c r="F36" s="172"/>
      <c r="G36" s="173"/>
      <c r="H36" s="174" t="s">
        <v>262</v>
      </c>
      <c r="I36" s="175" t="s">
        <v>263</v>
      </c>
      <c r="J36" s="176">
        <f>+K36+L36</f>
        <v>2582098</v>
      </c>
      <c r="K36" s="177">
        <f>+K37</f>
        <v>2582098</v>
      </c>
      <c r="L36" s="177">
        <f>+L37</f>
        <v>0</v>
      </c>
      <c r="M36" s="177">
        <f>+M37</f>
        <v>0</v>
      </c>
      <c r="N36" s="30">
        <f>SUM(O36:W36)</f>
        <v>0</v>
      </c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2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2">
        <f>Y36+N36</f>
        <v>0</v>
      </c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198"/>
    </row>
    <row r="37" spans="1:59" s="199" customFormat="1" ht="19.5" x14ac:dyDescent="0.3">
      <c r="A37" s="156" t="str">
        <f>IF(J37=0,"","п")</f>
        <v>п</v>
      </c>
      <c r="B37" s="157" t="s">
        <v>178</v>
      </c>
      <c r="C37" s="103"/>
      <c r="D37" s="179" t="s">
        <v>29</v>
      </c>
      <c r="E37" s="179"/>
      <c r="F37" s="179"/>
      <c r="G37" s="181" t="s">
        <v>3</v>
      </c>
      <c r="H37" s="182"/>
      <c r="I37" s="183"/>
      <c r="J37" s="184">
        <f>+K37+L37</f>
        <v>2582098</v>
      </c>
      <c r="K37" s="185">
        <f t="shared" ref="K37:M38" si="7">SUM(K38)</f>
        <v>2582098</v>
      </c>
      <c r="L37" s="185">
        <f t="shared" si="7"/>
        <v>0</v>
      </c>
      <c r="M37" s="185">
        <f t="shared" si="7"/>
        <v>0</v>
      </c>
      <c r="N37" s="30">
        <f>SUM(O37:W37)</f>
        <v>0</v>
      </c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>
        <f>Y37+N37</f>
        <v>0</v>
      </c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198"/>
    </row>
    <row r="38" spans="1:59" s="199" customFormat="1" ht="19.5" x14ac:dyDescent="0.3">
      <c r="A38" s="156" t="str">
        <f>IF(J38=0,"","п")</f>
        <v>п</v>
      </c>
      <c r="B38" s="157" t="s">
        <v>178</v>
      </c>
      <c r="C38" s="103"/>
      <c r="D38" s="179" t="s">
        <v>28</v>
      </c>
      <c r="E38" s="179"/>
      <c r="F38" s="179"/>
      <c r="G38" s="181" t="s">
        <v>3</v>
      </c>
      <c r="H38" s="182"/>
      <c r="I38" s="183"/>
      <c r="J38" s="184">
        <f>+K38+L38</f>
        <v>2582098</v>
      </c>
      <c r="K38" s="185">
        <f>SUM(K39)</f>
        <v>2582098</v>
      </c>
      <c r="L38" s="185">
        <f t="shared" si="7"/>
        <v>0</v>
      </c>
      <c r="M38" s="185">
        <f t="shared" si="7"/>
        <v>0</v>
      </c>
      <c r="N38" s="30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198"/>
    </row>
    <row r="39" spans="1:59" s="197" customFormat="1" ht="26.25" customHeight="1" thickBot="1" x14ac:dyDescent="0.35">
      <c r="A39" s="156" t="str">
        <f>IF(J39=0,"","п")</f>
        <v>п</v>
      </c>
      <c r="B39" s="157" t="s">
        <v>178</v>
      </c>
      <c r="C39" s="103"/>
      <c r="D39" s="212" t="s">
        <v>110</v>
      </c>
      <c r="E39" s="188" t="s">
        <v>111</v>
      </c>
      <c r="F39" s="188" t="s">
        <v>112</v>
      </c>
      <c r="G39" s="189" t="s">
        <v>113</v>
      </c>
      <c r="H39" s="190"/>
      <c r="I39" s="191"/>
      <c r="J39" s="192">
        <f>+K39+L39</f>
        <v>2582098</v>
      </c>
      <c r="K39" s="193">
        <f>2376764+145334+60000</f>
        <v>2582098</v>
      </c>
      <c r="L39" s="193"/>
      <c r="M39" s="193"/>
      <c r="N39" s="30">
        <f>SUM(O39:W39)</f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2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2">
        <f>Y39+N39</f>
        <v>0</v>
      </c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198"/>
    </row>
    <row r="40" spans="1:59" s="33" customFormat="1" ht="75.75" hidden="1" thickBot="1" x14ac:dyDescent="0.3">
      <c r="A40" s="27" t="str">
        <f t="shared" si="2"/>
        <v/>
      </c>
      <c r="B40" s="28"/>
      <c r="C40" s="28"/>
      <c r="D40" s="172"/>
      <c r="E40" s="171"/>
      <c r="F40" s="172"/>
      <c r="G40" s="173"/>
      <c r="H40" s="174" t="s">
        <v>234</v>
      </c>
      <c r="I40" s="118" t="s">
        <v>235</v>
      </c>
      <c r="J40" s="127">
        <f t="shared" si="3"/>
        <v>0</v>
      </c>
      <c r="K40" s="29">
        <f>+K41</f>
        <v>0</v>
      </c>
      <c r="L40" s="29">
        <f>+L41</f>
        <v>0</v>
      </c>
      <c r="M40" s="29">
        <f>+M41</f>
        <v>0</v>
      </c>
      <c r="N40" s="30">
        <f>SUM(O40:W40)</f>
        <v>0</v>
      </c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2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2">
        <f>Y40+N40</f>
        <v>0</v>
      </c>
      <c r="BG40" s="107"/>
    </row>
    <row r="41" spans="1:59" s="44" customFormat="1" ht="20.25" hidden="1" thickBot="1" x14ac:dyDescent="0.3">
      <c r="A41" s="27" t="str">
        <f t="shared" si="2"/>
        <v/>
      </c>
      <c r="B41" s="28" t="s">
        <v>178</v>
      </c>
      <c r="C41" s="103"/>
      <c r="D41" s="179" t="s">
        <v>29</v>
      </c>
      <c r="E41" s="179"/>
      <c r="F41" s="179"/>
      <c r="G41" s="181" t="s">
        <v>3</v>
      </c>
      <c r="H41" s="182"/>
      <c r="I41" s="119"/>
      <c r="J41" s="128">
        <f t="shared" si="3"/>
        <v>0</v>
      </c>
      <c r="K41" s="62">
        <f t="shared" ref="K41:M42" si="8">SUM(K42)</f>
        <v>0</v>
      </c>
      <c r="L41" s="62">
        <f t="shared" si="8"/>
        <v>0</v>
      </c>
      <c r="M41" s="62">
        <f t="shared" si="8"/>
        <v>0</v>
      </c>
      <c r="N41" s="30">
        <f>SUM(O41:W41)</f>
        <v>0</v>
      </c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>
        <f>Y41+N41</f>
        <v>0</v>
      </c>
      <c r="BG41" s="107"/>
    </row>
    <row r="42" spans="1:59" s="44" customFormat="1" ht="20.25" hidden="1" thickBot="1" x14ac:dyDescent="0.3">
      <c r="A42" s="27" t="str">
        <f t="shared" si="2"/>
        <v/>
      </c>
      <c r="B42" s="28" t="s">
        <v>178</v>
      </c>
      <c r="C42" s="103"/>
      <c r="D42" s="179" t="s">
        <v>28</v>
      </c>
      <c r="E42" s="179"/>
      <c r="F42" s="179"/>
      <c r="G42" s="181" t="s">
        <v>3</v>
      </c>
      <c r="H42" s="182"/>
      <c r="I42" s="119"/>
      <c r="J42" s="128">
        <f t="shared" si="3"/>
        <v>0</v>
      </c>
      <c r="K42" s="62">
        <f>SUM(K43)</f>
        <v>0</v>
      </c>
      <c r="L42" s="62">
        <f t="shared" si="8"/>
        <v>0</v>
      </c>
      <c r="M42" s="62">
        <f t="shared" si="8"/>
        <v>0</v>
      </c>
      <c r="N42" s="30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BG42" s="107"/>
    </row>
    <row r="43" spans="1:59" s="33" customFormat="1" ht="57" hidden="1" thickBot="1" x14ac:dyDescent="0.3">
      <c r="A43" s="27" t="str">
        <f t="shared" si="2"/>
        <v/>
      </c>
      <c r="B43" s="28" t="s">
        <v>178</v>
      </c>
      <c r="C43" s="103"/>
      <c r="D43" s="212" t="s">
        <v>41</v>
      </c>
      <c r="E43" s="188" t="s">
        <v>42</v>
      </c>
      <c r="F43" s="188" t="s">
        <v>87</v>
      </c>
      <c r="G43" s="189" t="s">
        <v>43</v>
      </c>
      <c r="H43" s="190"/>
      <c r="I43" s="111"/>
      <c r="J43" s="129">
        <f t="shared" si="3"/>
        <v>0</v>
      </c>
      <c r="K43" s="37"/>
      <c r="L43" s="36"/>
      <c r="M43" s="36"/>
      <c r="N43" s="30">
        <f>SUM(O43:W43)</f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2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2">
        <f>Y43+N43</f>
        <v>0</v>
      </c>
      <c r="BG43" s="107"/>
    </row>
    <row r="44" spans="1:59" s="197" customFormat="1" ht="75" x14ac:dyDescent="0.3">
      <c r="A44" s="156" t="str">
        <f t="shared" si="2"/>
        <v>п</v>
      </c>
      <c r="B44" s="157"/>
      <c r="C44" s="28"/>
      <c r="D44" s="172"/>
      <c r="E44" s="171"/>
      <c r="F44" s="172"/>
      <c r="G44" s="173"/>
      <c r="H44" s="174" t="s">
        <v>236</v>
      </c>
      <c r="I44" s="175" t="s">
        <v>237</v>
      </c>
      <c r="J44" s="176">
        <f t="shared" si="3"/>
        <v>20156326</v>
      </c>
      <c r="K44" s="177">
        <f>+K45</f>
        <v>20156326</v>
      </c>
      <c r="L44" s="177">
        <f>+L45</f>
        <v>0</v>
      </c>
      <c r="M44" s="177">
        <f>+M45</f>
        <v>0</v>
      </c>
      <c r="N44" s="30">
        <f>SUM(O44:W44)</f>
        <v>0</v>
      </c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2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2">
        <f>Y44+N44</f>
        <v>0</v>
      </c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198"/>
    </row>
    <row r="45" spans="1:59" s="199" customFormat="1" ht="19.5" x14ac:dyDescent="0.3">
      <c r="A45" s="156" t="str">
        <f t="shared" si="2"/>
        <v>п</v>
      </c>
      <c r="B45" s="157" t="s">
        <v>178</v>
      </c>
      <c r="C45" s="103"/>
      <c r="D45" s="179" t="s">
        <v>29</v>
      </c>
      <c r="E45" s="179"/>
      <c r="F45" s="179"/>
      <c r="G45" s="181" t="s">
        <v>3</v>
      </c>
      <c r="H45" s="182"/>
      <c r="I45" s="183"/>
      <c r="J45" s="184">
        <f t="shared" si="3"/>
        <v>20156326</v>
      </c>
      <c r="K45" s="185">
        <f>SUM(K46)</f>
        <v>20156326</v>
      </c>
      <c r="L45" s="185">
        <f>SUM(L46)</f>
        <v>0</v>
      </c>
      <c r="M45" s="185">
        <f>SUM(M46)</f>
        <v>0</v>
      </c>
      <c r="N45" s="30">
        <f>SUM(O45:W45)</f>
        <v>0</v>
      </c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>
        <f>Y45+N45</f>
        <v>0</v>
      </c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198"/>
    </row>
    <row r="46" spans="1:59" s="199" customFormat="1" ht="19.5" x14ac:dyDescent="0.3">
      <c r="A46" s="156" t="str">
        <f t="shared" si="2"/>
        <v>п</v>
      </c>
      <c r="B46" s="157" t="s">
        <v>178</v>
      </c>
      <c r="C46" s="103"/>
      <c r="D46" s="179" t="s">
        <v>28</v>
      </c>
      <c r="E46" s="179"/>
      <c r="F46" s="179"/>
      <c r="G46" s="181" t="s">
        <v>3</v>
      </c>
      <c r="H46" s="182"/>
      <c r="I46" s="183"/>
      <c r="J46" s="184">
        <f>+K46+L46</f>
        <v>20156326</v>
      </c>
      <c r="K46" s="185">
        <f>SUM(K47:K50)-K50</f>
        <v>20156326</v>
      </c>
      <c r="L46" s="185">
        <f>SUM(L47:L50)-L50</f>
        <v>0</v>
      </c>
      <c r="M46" s="185">
        <f>SUM(M47:M50)-M50</f>
        <v>0</v>
      </c>
      <c r="N46" s="30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198"/>
    </row>
    <row r="47" spans="1:59" s="33" customFormat="1" ht="42" hidden="1" customHeight="1" x14ac:dyDescent="0.25">
      <c r="A47" s="27" t="str">
        <f t="shared" si="2"/>
        <v/>
      </c>
      <c r="B47" s="28" t="s">
        <v>178</v>
      </c>
      <c r="C47" s="105"/>
      <c r="D47" s="212" t="s">
        <v>44</v>
      </c>
      <c r="E47" s="188" t="s">
        <v>172</v>
      </c>
      <c r="F47" s="188" t="s">
        <v>161</v>
      </c>
      <c r="G47" s="394" t="s">
        <v>170</v>
      </c>
      <c r="H47" s="190"/>
      <c r="I47" s="111"/>
      <c r="J47" s="129">
        <f t="shared" si="3"/>
        <v>0</v>
      </c>
      <c r="K47" s="37"/>
      <c r="L47" s="37"/>
      <c r="M47" s="37"/>
      <c r="N47" s="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>
        <v>0</v>
      </c>
      <c r="BG47" s="107"/>
    </row>
    <row r="48" spans="1:59" s="197" customFormat="1" ht="56.25" x14ac:dyDescent="0.3">
      <c r="A48" s="156" t="str">
        <f t="shared" si="2"/>
        <v>п</v>
      </c>
      <c r="B48" s="157" t="s">
        <v>178</v>
      </c>
      <c r="C48" s="103"/>
      <c r="D48" s="212" t="s">
        <v>41</v>
      </c>
      <c r="E48" s="188" t="s">
        <v>42</v>
      </c>
      <c r="F48" s="188" t="s">
        <v>87</v>
      </c>
      <c r="G48" s="189" t="s">
        <v>43</v>
      </c>
      <c r="H48" s="190"/>
      <c r="I48" s="191"/>
      <c r="J48" s="192">
        <f t="shared" si="3"/>
        <v>15829377</v>
      </c>
      <c r="K48" s="192">
        <f>14236470+677405+915502</f>
        <v>15829377</v>
      </c>
      <c r="L48" s="193"/>
      <c r="M48" s="193"/>
      <c r="N48" s="30">
        <f>SUM(O48:W48)</f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2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2">
        <f>Y48+N48</f>
        <v>0</v>
      </c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198"/>
    </row>
    <row r="49" spans="1:59" s="197" customFormat="1" ht="42" customHeight="1" x14ac:dyDescent="0.3">
      <c r="A49" s="156" t="str">
        <f>IF(J49=0,"","п")</f>
        <v>п</v>
      </c>
      <c r="B49" s="157"/>
      <c r="C49" s="103"/>
      <c r="D49" s="212" t="s">
        <v>248</v>
      </c>
      <c r="E49" s="188" t="s">
        <v>249</v>
      </c>
      <c r="F49" s="188" t="s">
        <v>250</v>
      </c>
      <c r="G49" s="215" t="s">
        <v>251</v>
      </c>
      <c r="H49" s="216"/>
      <c r="I49" s="191"/>
      <c r="J49" s="192">
        <f>+K49+L49</f>
        <v>4326949</v>
      </c>
      <c r="K49" s="193">
        <f>1609500+1811632+905817</f>
        <v>4326949</v>
      </c>
      <c r="L49" s="194"/>
      <c r="M49" s="194"/>
      <c r="N49" s="30">
        <f>SUM(O49:W49)</f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2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2">
        <f>Y49+N49</f>
        <v>0</v>
      </c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198"/>
    </row>
    <row r="50" spans="1:59" s="235" customFormat="1" ht="20.25" thickBot="1" x14ac:dyDescent="0.35">
      <c r="A50" s="213" t="str">
        <f t="shared" si="2"/>
        <v>п</v>
      </c>
      <c r="B50" s="214"/>
      <c r="C50" s="104"/>
      <c r="D50" s="468"/>
      <c r="E50" s="217"/>
      <c r="F50" s="218"/>
      <c r="G50" s="219" t="s">
        <v>22</v>
      </c>
      <c r="H50" s="220"/>
      <c r="I50" s="221"/>
      <c r="J50" s="222">
        <f t="shared" si="3"/>
        <v>2717449</v>
      </c>
      <c r="K50" s="223">
        <f>1811632+905817</f>
        <v>2717449</v>
      </c>
      <c r="L50" s="224"/>
      <c r="M50" s="224"/>
      <c r="N50" s="84">
        <f>SUM(O50:W50)</f>
        <v>0</v>
      </c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6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6">
        <f>Y50+N50</f>
        <v>0</v>
      </c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198"/>
    </row>
    <row r="51" spans="1:59" s="197" customFormat="1" ht="42" customHeight="1" x14ac:dyDescent="0.3">
      <c r="A51" s="156" t="str">
        <f t="shared" si="2"/>
        <v>п</v>
      </c>
      <c r="B51" s="157"/>
      <c r="C51" s="28"/>
      <c r="D51" s="172"/>
      <c r="E51" s="171"/>
      <c r="F51" s="172"/>
      <c r="G51" s="173"/>
      <c r="H51" s="174" t="s">
        <v>17</v>
      </c>
      <c r="I51" s="175" t="s">
        <v>119</v>
      </c>
      <c r="J51" s="176">
        <f t="shared" si="3"/>
        <v>182606</v>
      </c>
      <c r="K51" s="177">
        <f t="shared" ref="K51:M52" si="9">+K52</f>
        <v>182606</v>
      </c>
      <c r="L51" s="177">
        <f t="shared" si="9"/>
        <v>0</v>
      </c>
      <c r="M51" s="177">
        <f t="shared" si="9"/>
        <v>0</v>
      </c>
      <c r="N51" s="30">
        <f>SUM(O51:W51)</f>
        <v>0</v>
      </c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2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2">
        <f>Y51+N51</f>
        <v>0</v>
      </c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198"/>
    </row>
    <row r="52" spans="1:59" s="199" customFormat="1" ht="39" x14ac:dyDescent="0.3">
      <c r="A52" s="156" t="str">
        <f t="shared" si="2"/>
        <v>п</v>
      </c>
      <c r="B52" s="157" t="s">
        <v>13</v>
      </c>
      <c r="C52" s="103"/>
      <c r="D52" s="225" t="s">
        <v>165</v>
      </c>
      <c r="E52" s="200"/>
      <c r="F52" s="200"/>
      <c r="G52" s="201" t="s">
        <v>296</v>
      </c>
      <c r="H52" s="182"/>
      <c r="I52" s="183"/>
      <c r="J52" s="184">
        <f t="shared" si="3"/>
        <v>182606</v>
      </c>
      <c r="K52" s="185">
        <f t="shared" si="9"/>
        <v>182606</v>
      </c>
      <c r="L52" s="185">
        <f t="shared" si="9"/>
        <v>0</v>
      </c>
      <c r="M52" s="185">
        <f t="shared" si="9"/>
        <v>0</v>
      </c>
      <c r="N52" s="30">
        <f>SUM(O52:W52)</f>
        <v>0</v>
      </c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32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32">
        <f>Y52+N52</f>
        <v>0</v>
      </c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198"/>
    </row>
    <row r="53" spans="1:59" s="199" customFormat="1" ht="39" x14ac:dyDescent="0.3">
      <c r="A53" s="156" t="str">
        <f t="shared" si="2"/>
        <v>п</v>
      </c>
      <c r="B53" s="157" t="s">
        <v>13</v>
      </c>
      <c r="C53" s="103"/>
      <c r="D53" s="225" t="s">
        <v>166</v>
      </c>
      <c r="E53" s="200"/>
      <c r="F53" s="200"/>
      <c r="G53" s="201" t="s">
        <v>296</v>
      </c>
      <c r="H53" s="226"/>
      <c r="I53" s="227"/>
      <c r="J53" s="228">
        <f t="shared" si="3"/>
        <v>182606</v>
      </c>
      <c r="K53" s="185">
        <f>SUM(K54:K55)</f>
        <v>182606</v>
      </c>
      <c r="L53" s="185">
        <f>SUM(L54:L55)</f>
        <v>0</v>
      </c>
      <c r="M53" s="185">
        <f>SUM(M54:M55)</f>
        <v>0</v>
      </c>
      <c r="N53" s="30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32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32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198"/>
    </row>
    <row r="54" spans="1:59" s="197" customFormat="1" ht="37.5" x14ac:dyDescent="0.3">
      <c r="A54" s="156" t="str">
        <f t="shared" si="2"/>
        <v>п</v>
      </c>
      <c r="B54" s="157" t="s">
        <v>13</v>
      </c>
      <c r="C54" s="103"/>
      <c r="D54" s="212" t="s">
        <v>189</v>
      </c>
      <c r="E54" s="187" t="s">
        <v>190</v>
      </c>
      <c r="F54" s="188" t="s">
        <v>27</v>
      </c>
      <c r="G54" s="189" t="s">
        <v>191</v>
      </c>
      <c r="H54" s="229"/>
      <c r="I54" s="230"/>
      <c r="J54" s="231">
        <f t="shared" si="3"/>
        <v>54200</v>
      </c>
      <c r="K54" s="232">
        <v>54200</v>
      </c>
      <c r="L54" s="233"/>
      <c r="M54" s="233"/>
      <c r="N54" s="30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2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2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198"/>
    </row>
    <row r="55" spans="1:59" s="197" customFormat="1" ht="24" customHeight="1" thickBot="1" x14ac:dyDescent="0.35">
      <c r="A55" s="156" t="str">
        <f t="shared" si="2"/>
        <v>п</v>
      </c>
      <c r="B55" s="157" t="s">
        <v>13</v>
      </c>
      <c r="C55" s="103"/>
      <c r="D55" s="212" t="s">
        <v>197</v>
      </c>
      <c r="E55" s="187" t="s">
        <v>196</v>
      </c>
      <c r="F55" s="188" t="s">
        <v>27</v>
      </c>
      <c r="G55" s="189" t="s">
        <v>198</v>
      </c>
      <c r="H55" s="229"/>
      <c r="I55" s="230"/>
      <c r="J55" s="231">
        <f t="shared" si="3"/>
        <v>128406</v>
      </c>
      <c r="K55" s="232">
        <v>128406</v>
      </c>
      <c r="L55" s="233"/>
      <c r="M55" s="233"/>
      <c r="N55" s="30">
        <f>SUM(O55:W55)</f>
        <v>0</v>
      </c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2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2">
        <f>Y55+N55</f>
        <v>0</v>
      </c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198"/>
    </row>
    <row r="56" spans="1:59" s="197" customFormat="1" ht="97.5" customHeight="1" x14ac:dyDescent="0.3">
      <c r="A56" s="156" t="str">
        <f t="shared" si="2"/>
        <v>п</v>
      </c>
      <c r="B56" s="157"/>
      <c r="C56" s="28"/>
      <c r="D56" s="172"/>
      <c r="E56" s="171"/>
      <c r="F56" s="172"/>
      <c r="G56" s="173"/>
      <c r="H56" s="174" t="s">
        <v>24</v>
      </c>
      <c r="I56" s="175" t="s">
        <v>133</v>
      </c>
      <c r="J56" s="176">
        <f t="shared" si="3"/>
        <v>295252</v>
      </c>
      <c r="K56" s="177">
        <f>+K57+K65</f>
        <v>295252</v>
      </c>
      <c r="L56" s="177">
        <f>+L57</f>
        <v>0</v>
      </c>
      <c r="M56" s="177">
        <f>+M57</f>
        <v>0</v>
      </c>
      <c r="N56" s="30">
        <f>SUM(O56:W56)</f>
        <v>0</v>
      </c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2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2">
        <f>Y56+N56</f>
        <v>0</v>
      </c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198"/>
    </row>
    <row r="57" spans="1:59" s="199" customFormat="1" ht="39" x14ac:dyDescent="0.3">
      <c r="A57" s="156" t="str">
        <f t="shared" si="2"/>
        <v>п</v>
      </c>
      <c r="B57" s="157" t="s">
        <v>13</v>
      </c>
      <c r="C57" s="103"/>
      <c r="D57" s="225" t="s">
        <v>165</v>
      </c>
      <c r="E57" s="200"/>
      <c r="F57" s="200"/>
      <c r="G57" s="201" t="s">
        <v>296</v>
      </c>
      <c r="H57" s="182"/>
      <c r="I57" s="183"/>
      <c r="J57" s="184">
        <f t="shared" si="3"/>
        <v>293002</v>
      </c>
      <c r="K57" s="185">
        <f>K58</f>
        <v>293002</v>
      </c>
      <c r="L57" s="185">
        <f>L58</f>
        <v>0</v>
      </c>
      <c r="M57" s="185">
        <f>M58</f>
        <v>0</v>
      </c>
      <c r="N57" s="30">
        <f>SUM(O57:W57)</f>
        <v>0</v>
      </c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32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32">
        <f>Y57+N57</f>
        <v>0</v>
      </c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198"/>
    </row>
    <row r="58" spans="1:59" s="199" customFormat="1" ht="39" x14ac:dyDescent="0.3">
      <c r="A58" s="156" t="str">
        <f t="shared" si="2"/>
        <v>п</v>
      </c>
      <c r="B58" s="157" t="s">
        <v>13</v>
      </c>
      <c r="C58" s="103"/>
      <c r="D58" s="225" t="s">
        <v>166</v>
      </c>
      <c r="E58" s="200"/>
      <c r="F58" s="200"/>
      <c r="G58" s="201" t="s">
        <v>296</v>
      </c>
      <c r="H58" s="226"/>
      <c r="I58" s="227"/>
      <c r="J58" s="228">
        <f t="shared" si="3"/>
        <v>293002</v>
      </c>
      <c r="K58" s="185">
        <f>SUM(K59:K64)-K63</f>
        <v>293002</v>
      </c>
      <c r="L58" s="185">
        <f t="shared" ref="L58:M58" si="10">SUM(L59:L64)-L63</f>
        <v>0</v>
      </c>
      <c r="M58" s="185">
        <f t="shared" si="10"/>
        <v>0</v>
      </c>
      <c r="N58" s="30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32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32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198"/>
    </row>
    <row r="59" spans="1:59" s="197" customFormat="1" ht="37.5" x14ac:dyDescent="0.3">
      <c r="A59" s="156" t="str">
        <f t="shared" si="2"/>
        <v>п</v>
      </c>
      <c r="B59" s="157" t="s">
        <v>13</v>
      </c>
      <c r="C59" s="103" t="s">
        <v>14</v>
      </c>
      <c r="D59" s="212" t="s">
        <v>292</v>
      </c>
      <c r="E59" s="187" t="s">
        <v>45</v>
      </c>
      <c r="F59" s="188" t="s">
        <v>152</v>
      </c>
      <c r="G59" s="189" t="s">
        <v>163</v>
      </c>
      <c r="H59" s="229"/>
      <c r="I59" s="230"/>
      <c r="J59" s="231">
        <f t="shared" si="3"/>
        <v>91950</v>
      </c>
      <c r="K59" s="232">
        <f>94200-2250</f>
        <v>91950</v>
      </c>
      <c r="L59" s="232"/>
      <c r="M59" s="232"/>
      <c r="N59" s="30">
        <f>SUM(O59:W59)</f>
        <v>0</v>
      </c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2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2">
        <f>Y59+N59</f>
        <v>0</v>
      </c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198"/>
    </row>
    <row r="60" spans="1:59" s="197" customFormat="1" ht="37.5" x14ac:dyDescent="0.3">
      <c r="A60" s="156" t="str">
        <f>IF(J60=0,"","п")</f>
        <v>п</v>
      </c>
      <c r="B60" s="157" t="s">
        <v>13</v>
      </c>
      <c r="C60" s="103"/>
      <c r="D60" s="188" t="s">
        <v>293</v>
      </c>
      <c r="E60" s="187">
        <v>5012</v>
      </c>
      <c r="F60" s="188" t="s">
        <v>152</v>
      </c>
      <c r="G60" s="189" t="s">
        <v>121</v>
      </c>
      <c r="H60" s="234"/>
      <c r="I60" s="230"/>
      <c r="J60" s="232">
        <f>+K60+L60</f>
        <v>8600</v>
      </c>
      <c r="K60" s="232">
        <v>8600</v>
      </c>
      <c r="L60" s="233"/>
      <c r="M60" s="233"/>
      <c r="N60" s="30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2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2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198"/>
    </row>
    <row r="61" spans="1:59" s="197" customFormat="1" ht="37.5" x14ac:dyDescent="0.3">
      <c r="A61" s="156" t="str">
        <f t="shared" si="2"/>
        <v>п</v>
      </c>
      <c r="B61" s="157" t="s">
        <v>13</v>
      </c>
      <c r="C61" s="103"/>
      <c r="D61" s="212">
        <v>1015031</v>
      </c>
      <c r="E61" s="187" t="s">
        <v>46</v>
      </c>
      <c r="F61" s="188" t="s">
        <v>152</v>
      </c>
      <c r="G61" s="189" t="s">
        <v>167</v>
      </c>
      <c r="H61" s="229"/>
      <c r="I61" s="230"/>
      <c r="J61" s="231">
        <f t="shared" si="3"/>
        <v>26794</v>
      </c>
      <c r="K61" s="232">
        <v>26794</v>
      </c>
      <c r="L61" s="232"/>
      <c r="M61" s="232"/>
      <c r="N61" s="30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2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2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198"/>
    </row>
    <row r="62" spans="1:59" s="197" customFormat="1" ht="56.25" x14ac:dyDescent="0.3">
      <c r="A62" s="156" t="str">
        <f t="shared" si="2"/>
        <v>п</v>
      </c>
      <c r="B62" s="157" t="s">
        <v>13</v>
      </c>
      <c r="C62" s="103"/>
      <c r="D62" s="212" t="s">
        <v>294</v>
      </c>
      <c r="E62" s="187" t="s">
        <v>48</v>
      </c>
      <c r="F62" s="188" t="s">
        <v>152</v>
      </c>
      <c r="G62" s="189" t="s">
        <v>49</v>
      </c>
      <c r="H62" s="229"/>
      <c r="I62" s="230"/>
      <c r="J62" s="231">
        <f t="shared" si="3"/>
        <v>31658</v>
      </c>
      <c r="K62" s="232">
        <v>31658</v>
      </c>
      <c r="L62" s="232"/>
      <c r="M62" s="232"/>
      <c r="N62" s="30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2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2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198"/>
    </row>
    <row r="63" spans="1:59" s="87" customFormat="1" ht="49.5" hidden="1" customHeight="1" x14ac:dyDescent="0.3">
      <c r="A63" s="27" t="str">
        <f t="shared" si="2"/>
        <v/>
      </c>
      <c r="B63" s="101" t="s">
        <v>13</v>
      </c>
      <c r="C63" s="104"/>
      <c r="D63" s="468"/>
      <c r="E63" s="217"/>
      <c r="F63" s="218"/>
      <c r="G63" s="219" t="s">
        <v>22</v>
      </c>
      <c r="H63" s="242"/>
      <c r="I63" s="114"/>
      <c r="J63" s="134">
        <f t="shared" si="3"/>
        <v>0</v>
      </c>
      <c r="K63" s="91"/>
      <c r="L63" s="91"/>
      <c r="M63" s="91"/>
      <c r="N63" s="84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6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6"/>
      <c r="BG63" s="107"/>
    </row>
    <row r="64" spans="1:59" s="197" customFormat="1" ht="56.25" x14ac:dyDescent="0.3">
      <c r="A64" s="156" t="str">
        <f t="shared" si="2"/>
        <v>п</v>
      </c>
      <c r="B64" s="157" t="s">
        <v>13</v>
      </c>
      <c r="C64" s="103"/>
      <c r="D64" s="212" t="s">
        <v>295</v>
      </c>
      <c r="E64" s="187" t="s">
        <v>50</v>
      </c>
      <c r="F64" s="188" t="s">
        <v>152</v>
      </c>
      <c r="G64" s="189" t="s">
        <v>171</v>
      </c>
      <c r="H64" s="229"/>
      <c r="I64" s="230"/>
      <c r="J64" s="231">
        <f t="shared" si="3"/>
        <v>134000</v>
      </c>
      <c r="K64" s="232">
        <v>134000</v>
      </c>
      <c r="L64" s="232"/>
      <c r="M64" s="232"/>
      <c r="N64" s="30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2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2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198"/>
    </row>
    <row r="65" spans="1:59" s="33" customFormat="1" ht="39" customHeight="1" x14ac:dyDescent="0.25">
      <c r="A65" s="27" t="str">
        <f t="shared" si="2"/>
        <v>п</v>
      </c>
      <c r="B65" s="157" t="s">
        <v>178</v>
      </c>
      <c r="C65" s="103"/>
      <c r="D65" s="179" t="s">
        <v>29</v>
      </c>
      <c r="E65" s="179"/>
      <c r="F65" s="179"/>
      <c r="G65" s="181" t="s">
        <v>3</v>
      </c>
      <c r="H65" s="182"/>
      <c r="I65" s="183"/>
      <c r="J65" s="184">
        <f t="shared" ref="J65" si="11">+K65+L65</f>
        <v>2250</v>
      </c>
      <c r="K65" s="185">
        <f>K66</f>
        <v>2250</v>
      </c>
      <c r="L65" s="185">
        <f>+L67+L69</f>
        <v>0</v>
      </c>
      <c r="M65" s="185">
        <f>+M67+M69</f>
        <v>0</v>
      </c>
      <c r="N65" s="30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2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2"/>
      <c r="BG65" s="107"/>
    </row>
    <row r="66" spans="1:59" s="33" customFormat="1" ht="46.5" customHeight="1" x14ac:dyDescent="0.25">
      <c r="A66" s="27" t="str">
        <f t="shared" si="2"/>
        <v>п</v>
      </c>
      <c r="B66" s="157" t="s">
        <v>178</v>
      </c>
      <c r="C66" s="103" t="s">
        <v>15</v>
      </c>
      <c r="D66" s="179" t="s">
        <v>28</v>
      </c>
      <c r="E66" s="179"/>
      <c r="F66" s="179"/>
      <c r="G66" s="181" t="s">
        <v>3</v>
      </c>
      <c r="H66" s="182"/>
      <c r="I66" s="183"/>
      <c r="J66" s="184">
        <f>+K66+L66</f>
        <v>2250</v>
      </c>
      <c r="K66" s="185">
        <f>SUM(K67:K69)</f>
        <v>2250</v>
      </c>
      <c r="L66" s="185">
        <f>SUM(L67:L69)</f>
        <v>0</v>
      </c>
      <c r="M66" s="185">
        <f>SUM(M67:M69)</f>
        <v>0</v>
      </c>
      <c r="N66" s="30">
        <f>SUM(O66:W66)</f>
        <v>0</v>
      </c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2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2">
        <f>Y66+N66</f>
        <v>0</v>
      </c>
      <c r="BG66" s="107"/>
    </row>
    <row r="67" spans="1:59" s="33" customFormat="1" ht="36" customHeight="1" thickBot="1" x14ac:dyDescent="0.3">
      <c r="A67" s="27" t="str">
        <f t="shared" si="2"/>
        <v>п</v>
      </c>
      <c r="B67" s="157" t="s">
        <v>178</v>
      </c>
      <c r="C67" s="103"/>
      <c r="D67" s="212" t="s">
        <v>298</v>
      </c>
      <c r="E67" s="187" t="s">
        <v>45</v>
      </c>
      <c r="F67" s="188" t="s">
        <v>152</v>
      </c>
      <c r="G67" s="189" t="s">
        <v>163</v>
      </c>
      <c r="H67" s="229"/>
      <c r="I67" s="230"/>
      <c r="J67" s="231">
        <f t="shared" ref="J67" si="12">+K67+L67</f>
        <v>2250</v>
      </c>
      <c r="K67" s="232">
        <v>2250</v>
      </c>
      <c r="L67" s="40"/>
      <c r="M67" s="40"/>
      <c r="N67" s="30">
        <f>SUM(O67:W67)</f>
        <v>0</v>
      </c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2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2">
        <f>Y67+N67</f>
        <v>0</v>
      </c>
      <c r="BG67" s="107"/>
    </row>
    <row r="68" spans="1:59" s="33" customFormat="1" ht="30.75" hidden="1" customHeight="1" x14ac:dyDescent="0.25">
      <c r="A68" s="27" t="str">
        <f t="shared" si="2"/>
        <v/>
      </c>
      <c r="B68" s="28" t="s">
        <v>178</v>
      </c>
      <c r="C68" s="103"/>
      <c r="D68" s="211"/>
      <c r="E68" s="210"/>
      <c r="F68" s="211"/>
      <c r="G68" s="447"/>
      <c r="H68" s="234"/>
      <c r="I68" s="112"/>
      <c r="J68" s="41">
        <f t="shared" si="3"/>
        <v>0</v>
      </c>
      <c r="K68" s="41"/>
      <c r="L68" s="40"/>
      <c r="M68" s="40"/>
      <c r="N68" s="30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2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2"/>
      <c r="BG68" s="107"/>
    </row>
    <row r="69" spans="1:59" s="33" customFormat="1" ht="54" hidden="1" customHeight="1" thickBot="1" x14ac:dyDescent="0.3">
      <c r="A69" s="27" t="str">
        <f t="shared" si="2"/>
        <v/>
      </c>
      <c r="B69" s="28" t="s">
        <v>178</v>
      </c>
      <c r="C69" s="103" t="s">
        <v>16</v>
      </c>
      <c r="D69" s="255"/>
      <c r="E69" s="253"/>
      <c r="F69" s="255"/>
      <c r="G69" s="256"/>
      <c r="H69" s="254"/>
      <c r="I69" s="113"/>
      <c r="J69" s="43">
        <f t="shared" si="3"/>
        <v>0</v>
      </c>
      <c r="K69" s="43"/>
      <c r="L69" s="42"/>
      <c r="M69" s="42"/>
      <c r="N69" s="30">
        <f>SUM(O69:W69)</f>
        <v>0</v>
      </c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2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2">
        <f>Y69+N69</f>
        <v>0</v>
      </c>
      <c r="BG69" s="107"/>
    </row>
    <row r="70" spans="1:59" s="199" customFormat="1" ht="98.25" customHeight="1" x14ac:dyDescent="0.3">
      <c r="A70" s="156" t="str">
        <f t="shared" si="2"/>
        <v>п</v>
      </c>
      <c r="B70" s="157"/>
      <c r="C70" s="28"/>
      <c r="D70" s="236"/>
      <c r="E70" s="173"/>
      <c r="F70" s="236"/>
      <c r="G70" s="173"/>
      <c r="H70" s="237" t="s">
        <v>327</v>
      </c>
      <c r="I70" s="175" t="s">
        <v>269</v>
      </c>
      <c r="J70" s="176">
        <f t="shared" si="3"/>
        <v>111254</v>
      </c>
      <c r="K70" s="177">
        <f>K71</f>
        <v>111254</v>
      </c>
      <c r="L70" s="177">
        <f>L71</f>
        <v>0</v>
      </c>
      <c r="M70" s="177">
        <f>M71</f>
        <v>0</v>
      </c>
      <c r="N70" s="30">
        <f>SUM(O70:W70)</f>
        <v>0</v>
      </c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2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2">
        <f>Y70+N70</f>
        <v>0</v>
      </c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198"/>
    </row>
    <row r="71" spans="1:59" s="239" customFormat="1" ht="19.5" x14ac:dyDescent="0.35">
      <c r="A71" s="156" t="str">
        <f t="shared" si="2"/>
        <v>п</v>
      </c>
      <c r="B71" s="157" t="s">
        <v>178</v>
      </c>
      <c r="C71" s="103"/>
      <c r="D71" s="179" t="s">
        <v>29</v>
      </c>
      <c r="E71" s="179"/>
      <c r="F71" s="179"/>
      <c r="G71" s="181" t="s">
        <v>3</v>
      </c>
      <c r="H71" s="182"/>
      <c r="I71" s="183"/>
      <c r="J71" s="184">
        <f t="shared" si="3"/>
        <v>111254</v>
      </c>
      <c r="K71" s="185">
        <f>K72</f>
        <v>111254</v>
      </c>
      <c r="L71" s="185">
        <f>+L73+L76</f>
        <v>0</v>
      </c>
      <c r="M71" s="185">
        <f>+M73+M76</f>
        <v>0</v>
      </c>
      <c r="N71" s="30">
        <f>SUM(O71:W71)</f>
        <v>0</v>
      </c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32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32">
        <f>Y71+N71</f>
        <v>0</v>
      </c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198"/>
    </row>
    <row r="72" spans="1:59" s="239" customFormat="1" ht="19.5" x14ac:dyDescent="0.35">
      <c r="A72" s="156" t="str">
        <f t="shared" si="2"/>
        <v>п</v>
      </c>
      <c r="B72" s="157" t="s">
        <v>178</v>
      </c>
      <c r="C72" s="103"/>
      <c r="D72" s="179" t="s">
        <v>28</v>
      </c>
      <c r="E72" s="179"/>
      <c r="F72" s="179"/>
      <c r="G72" s="181" t="s">
        <v>3</v>
      </c>
      <c r="H72" s="182"/>
      <c r="I72" s="183"/>
      <c r="J72" s="184">
        <f>+K72+L72</f>
        <v>111254</v>
      </c>
      <c r="K72" s="185">
        <f>SUM(K73:K76)</f>
        <v>111254</v>
      </c>
      <c r="L72" s="185">
        <f>SUM(L73:L76)</f>
        <v>0</v>
      </c>
      <c r="M72" s="185">
        <f>SUM(M73:M76)</f>
        <v>0</v>
      </c>
      <c r="N72" s="30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32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32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198"/>
    </row>
    <row r="73" spans="1:59" s="197" customFormat="1" ht="37.5" x14ac:dyDescent="0.3">
      <c r="A73" s="156" t="str">
        <f t="shared" si="2"/>
        <v>п</v>
      </c>
      <c r="B73" s="157" t="s">
        <v>178</v>
      </c>
      <c r="C73" s="103"/>
      <c r="D73" s="212" t="s">
        <v>51</v>
      </c>
      <c r="E73" s="187" t="s">
        <v>52</v>
      </c>
      <c r="F73" s="212" t="s">
        <v>160</v>
      </c>
      <c r="G73" s="189" t="s">
        <v>164</v>
      </c>
      <c r="H73" s="190"/>
      <c r="I73" s="191"/>
      <c r="J73" s="192">
        <f t="shared" si="3"/>
        <v>30532</v>
      </c>
      <c r="K73" s="193">
        <f>103754-16222-57000</f>
        <v>30532</v>
      </c>
      <c r="L73" s="193"/>
      <c r="M73" s="193"/>
      <c r="N73" s="30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2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2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198"/>
    </row>
    <row r="74" spans="1:59" s="197" customFormat="1" ht="27.75" customHeight="1" x14ac:dyDescent="0.3">
      <c r="A74" s="156" t="str">
        <f t="shared" ref="A74" si="13">IF(J74=0,"","п")</f>
        <v>п</v>
      </c>
      <c r="B74" s="157" t="s">
        <v>178</v>
      </c>
      <c r="C74" s="103"/>
      <c r="D74" s="372" t="s">
        <v>77</v>
      </c>
      <c r="E74" s="210">
        <v>9770</v>
      </c>
      <c r="F74" s="372" t="s">
        <v>156</v>
      </c>
      <c r="G74" s="447" t="s">
        <v>79</v>
      </c>
      <c r="H74" s="229"/>
      <c r="I74" s="230"/>
      <c r="J74" s="192">
        <f t="shared" si="3"/>
        <v>57000</v>
      </c>
      <c r="K74" s="232">
        <v>57000</v>
      </c>
      <c r="L74" s="232"/>
      <c r="M74" s="232"/>
      <c r="N74" s="30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2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2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198"/>
    </row>
    <row r="75" spans="1:59" s="197" customFormat="1" ht="80.25" customHeight="1" thickBot="1" x14ac:dyDescent="0.35">
      <c r="A75" s="156" t="str">
        <f t="shared" si="2"/>
        <v>п</v>
      </c>
      <c r="B75" s="157" t="s">
        <v>178</v>
      </c>
      <c r="C75" s="103"/>
      <c r="D75" s="211" t="s">
        <v>216</v>
      </c>
      <c r="E75" s="210">
        <v>3111</v>
      </c>
      <c r="F75" s="211" t="s">
        <v>160</v>
      </c>
      <c r="G75" s="238" t="s">
        <v>291</v>
      </c>
      <c r="H75" s="229"/>
      <c r="I75" s="230"/>
      <c r="J75" s="192">
        <f t="shared" si="3"/>
        <v>23722</v>
      </c>
      <c r="K75" s="232">
        <f>7500+16222</f>
        <v>23722</v>
      </c>
      <c r="L75" s="232"/>
      <c r="M75" s="232"/>
      <c r="N75" s="30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2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2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198"/>
    </row>
    <row r="76" spans="1:59" s="33" customFormat="1" ht="19.5" hidden="1" thickBot="1" x14ac:dyDescent="0.3">
      <c r="A76" s="27" t="str">
        <f t="shared" si="2"/>
        <v/>
      </c>
      <c r="B76" s="28" t="s">
        <v>178</v>
      </c>
      <c r="C76" s="103"/>
      <c r="D76" s="263"/>
      <c r="E76" s="255"/>
      <c r="F76" s="255"/>
      <c r="G76" s="256"/>
      <c r="H76" s="264"/>
      <c r="I76" s="113"/>
      <c r="J76" s="43"/>
      <c r="K76" s="43"/>
      <c r="L76" s="43"/>
      <c r="M76" s="43"/>
      <c r="N76" s="30">
        <f>SUM(O76:W76)</f>
        <v>0</v>
      </c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2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2">
        <f>Y76+N76</f>
        <v>0</v>
      </c>
      <c r="BG76" s="107"/>
    </row>
    <row r="77" spans="1:59" s="197" customFormat="1" ht="42.75" customHeight="1" x14ac:dyDescent="0.3">
      <c r="A77" s="156" t="str">
        <f t="shared" si="2"/>
        <v>п</v>
      </c>
      <c r="B77" s="157"/>
      <c r="C77" s="28"/>
      <c r="D77" s="172"/>
      <c r="E77" s="171"/>
      <c r="F77" s="172"/>
      <c r="G77" s="173"/>
      <c r="H77" s="174" t="s">
        <v>270</v>
      </c>
      <c r="I77" s="240" t="s">
        <v>288</v>
      </c>
      <c r="J77" s="176">
        <f>+K77+L77</f>
        <v>21796818.210000001</v>
      </c>
      <c r="K77" s="177">
        <f>+K78+K107</f>
        <v>12527851.960000001</v>
      </c>
      <c r="L77" s="178">
        <f>+L78+L107</f>
        <v>9268966.25</v>
      </c>
      <c r="M77" s="178">
        <f>+M78+M107</f>
        <v>9268966.25</v>
      </c>
      <c r="N77" s="30">
        <f>SUM(O77:W77)</f>
        <v>0</v>
      </c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2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2">
        <f>Y77+N77</f>
        <v>0</v>
      </c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198"/>
    </row>
    <row r="78" spans="1:59" s="199" customFormat="1" ht="39" x14ac:dyDescent="0.3">
      <c r="A78" s="156" t="str">
        <f t="shared" si="2"/>
        <v>п</v>
      </c>
      <c r="B78" s="157" t="s">
        <v>180</v>
      </c>
      <c r="C78" s="28"/>
      <c r="D78" s="179" t="s">
        <v>55</v>
      </c>
      <c r="E78" s="180"/>
      <c r="F78" s="180"/>
      <c r="G78" s="181" t="s">
        <v>2</v>
      </c>
      <c r="H78" s="182"/>
      <c r="I78" s="183"/>
      <c r="J78" s="184">
        <f>+K78+L78</f>
        <v>21796818.210000001</v>
      </c>
      <c r="K78" s="185">
        <f>K79</f>
        <v>12527851.960000001</v>
      </c>
      <c r="L78" s="185">
        <f>L79</f>
        <v>9268966.25</v>
      </c>
      <c r="M78" s="185">
        <f>M79</f>
        <v>9268966.25</v>
      </c>
      <c r="N78" s="30">
        <f>SUM(O78:W78)</f>
        <v>0</v>
      </c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32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32">
        <f>Y78+N78</f>
        <v>0</v>
      </c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198"/>
    </row>
    <row r="79" spans="1:59" s="199" customFormat="1" ht="39" x14ac:dyDescent="0.3">
      <c r="A79" s="156" t="str">
        <f t="shared" si="2"/>
        <v>п</v>
      </c>
      <c r="B79" s="157" t="s">
        <v>180</v>
      </c>
      <c r="C79" s="28"/>
      <c r="D79" s="179" t="s">
        <v>56</v>
      </c>
      <c r="E79" s="180"/>
      <c r="F79" s="180"/>
      <c r="G79" s="181" t="s">
        <v>2</v>
      </c>
      <c r="H79" s="182"/>
      <c r="I79" s="183"/>
      <c r="J79" s="184">
        <f>+K79+L79</f>
        <v>21796818.210000001</v>
      </c>
      <c r="K79" s="185">
        <f>SUM(K80:K106)-K85-K86-K95-K82-K106-K91-K83-K87-K89</f>
        <v>12527851.960000001</v>
      </c>
      <c r="L79" s="185">
        <f t="shared" ref="L79:M79" si="14">SUM(L80:L106)-L85-L86-L95-L82-L106-L91-L83-L87-L89</f>
        <v>9268966.25</v>
      </c>
      <c r="M79" s="185">
        <f t="shared" si="14"/>
        <v>9268966.25</v>
      </c>
      <c r="N79" s="30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32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32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198"/>
    </row>
    <row r="80" spans="1:59" s="33" customFormat="1" ht="56.25" hidden="1" x14ac:dyDescent="0.25">
      <c r="A80" s="27" t="str">
        <f t="shared" si="2"/>
        <v/>
      </c>
      <c r="B80" s="28" t="s">
        <v>180</v>
      </c>
      <c r="C80" s="28"/>
      <c r="D80" s="212" t="s">
        <v>135</v>
      </c>
      <c r="E80" s="187" t="s">
        <v>92</v>
      </c>
      <c r="F80" s="188" t="s">
        <v>93</v>
      </c>
      <c r="G80" s="189" t="s">
        <v>94</v>
      </c>
      <c r="H80" s="229"/>
      <c r="I80" s="112"/>
      <c r="J80" s="133">
        <f t="shared" ref="J80:J140" si="15">+K80+L80</f>
        <v>0</v>
      </c>
      <c r="K80" s="41"/>
      <c r="L80" s="41"/>
      <c r="M80" s="41"/>
      <c r="N80" s="30">
        <f>SUM(O80:W80)</f>
        <v>0</v>
      </c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2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2">
        <f>Y80+N80</f>
        <v>0</v>
      </c>
      <c r="BG80" s="107"/>
    </row>
    <row r="81" spans="1:59" s="197" customFormat="1" ht="18.75" x14ac:dyDescent="0.3">
      <c r="A81" s="156" t="str">
        <f>IF(J81=0,"","п")</f>
        <v>п</v>
      </c>
      <c r="B81" s="157" t="s">
        <v>180</v>
      </c>
      <c r="C81" s="28"/>
      <c r="D81" s="212" t="s">
        <v>57</v>
      </c>
      <c r="E81" s="187">
        <v>1010</v>
      </c>
      <c r="F81" s="188" t="s">
        <v>157</v>
      </c>
      <c r="G81" s="189" t="s">
        <v>58</v>
      </c>
      <c r="H81" s="229"/>
      <c r="I81" s="230"/>
      <c r="J81" s="231">
        <f>+K81+L81</f>
        <v>301184</v>
      </c>
      <c r="K81" s="232">
        <v>301184</v>
      </c>
      <c r="L81" s="232"/>
      <c r="M81" s="232"/>
      <c r="N81" s="30">
        <f>SUM(O81:W81)</f>
        <v>0</v>
      </c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2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2">
        <f>Y81+N81</f>
        <v>0</v>
      </c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198"/>
    </row>
    <row r="82" spans="1:59" s="87" customFormat="1" ht="18.75" hidden="1" x14ac:dyDescent="0.3">
      <c r="A82" s="27" t="str">
        <f t="shared" si="2"/>
        <v/>
      </c>
      <c r="B82" s="28" t="s">
        <v>180</v>
      </c>
      <c r="C82" s="101"/>
      <c r="D82" s="468"/>
      <c r="E82" s="217"/>
      <c r="F82" s="218"/>
      <c r="G82" s="241" t="s">
        <v>22</v>
      </c>
      <c r="H82" s="242"/>
      <c r="I82" s="114"/>
      <c r="J82" s="134">
        <f t="shared" si="15"/>
        <v>0</v>
      </c>
      <c r="K82" s="91"/>
      <c r="L82" s="41"/>
      <c r="M82" s="41"/>
      <c r="N82" s="84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6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6"/>
      <c r="BG82" s="107"/>
    </row>
    <row r="83" spans="1:59" s="235" customFormat="1" ht="37.5" x14ac:dyDescent="0.3">
      <c r="A83" s="156" t="str">
        <f>IF(J83=0,"","п")</f>
        <v>п</v>
      </c>
      <c r="B83" s="157" t="s">
        <v>180</v>
      </c>
      <c r="C83" s="101"/>
      <c r="D83" s="468"/>
      <c r="E83" s="217"/>
      <c r="F83" s="218"/>
      <c r="G83" s="241" t="s">
        <v>274</v>
      </c>
      <c r="H83" s="242"/>
      <c r="I83" s="243"/>
      <c r="J83" s="244">
        <f>+K83+L83</f>
        <v>301184</v>
      </c>
      <c r="K83" s="245">
        <v>301184</v>
      </c>
      <c r="L83" s="232"/>
      <c r="M83" s="232"/>
      <c r="N83" s="84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6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6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198"/>
    </row>
    <row r="84" spans="1:59" s="197" customFormat="1" ht="37.5" x14ac:dyDescent="0.3">
      <c r="A84" s="156" t="str">
        <f t="shared" si="2"/>
        <v>п</v>
      </c>
      <c r="B84" s="157" t="s">
        <v>180</v>
      </c>
      <c r="C84" s="28"/>
      <c r="D84" s="212" t="s">
        <v>276</v>
      </c>
      <c r="E84" s="187">
        <v>1021</v>
      </c>
      <c r="F84" s="188" t="s">
        <v>158</v>
      </c>
      <c r="G84" s="189" t="s">
        <v>278</v>
      </c>
      <c r="H84" s="229"/>
      <c r="I84" s="230"/>
      <c r="J84" s="231">
        <f t="shared" si="15"/>
        <v>7368581</v>
      </c>
      <c r="K84" s="232">
        <f>5748163+698816+921602</f>
        <v>7368581</v>
      </c>
      <c r="L84" s="232"/>
      <c r="M84" s="232"/>
      <c r="N84" s="30">
        <f>SUM(O84:W84)</f>
        <v>0</v>
      </c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2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2">
        <f>Y84+N84</f>
        <v>0</v>
      </c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198"/>
    </row>
    <row r="85" spans="1:59" s="87" customFormat="1" ht="37.5" hidden="1" x14ac:dyDescent="0.3">
      <c r="A85" s="27" t="str">
        <f t="shared" si="2"/>
        <v/>
      </c>
      <c r="B85" s="28" t="s">
        <v>180</v>
      </c>
      <c r="C85" s="28"/>
      <c r="D85" s="468"/>
      <c r="E85" s="217"/>
      <c r="F85" s="218"/>
      <c r="G85" s="241" t="s">
        <v>25</v>
      </c>
      <c r="H85" s="246"/>
      <c r="I85" s="114"/>
      <c r="J85" s="91">
        <f t="shared" si="15"/>
        <v>0</v>
      </c>
      <c r="K85" s="91"/>
      <c r="L85" s="91"/>
      <c r="M85" s="91"/>
      <c r="N85" s="30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2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2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107"/>
    </row>
    <row r="86" spans="1:59" s="87" customFormat="1" ht="18.75" hidden="1" x14ac:dyDescent="0.3">
      <c r="A86" s="27" t="str">
        <f t="shared" si="2"/>
        <v/>
      </c>
      <c r="B86" s="28" t="s">
        <v>180</v>
      </c>
      <c r="C86" s="101"/>
      <c r="D86" s="468"/>
      <c r="E86" s="217"/>
      <c r="F86" s="218"/>
      <c r="G86" s="241" t="s">
        <v>22</v>
      </c>
      <c r="H86" s="242"/>
      <c r="I86" s="114"/>
      <c r="J86" s="134">
        <f t="shared" si="15"/>
        <v>0</v>
      </c>
      <c r="K86" s="147"/>
      <c r="L86" s="91"/>
      <c r="M86" s="91"/>
      <c r="N86" s="84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6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6"/>
      <c r="BG86" s="107"/>
    </row>
    <row r="87" spans="1:59" s="235" customFormat="1" ht="37.5" x14ac:dyDescent="0.3">
      <c r="A87" s="156" t="str">
        <f t="shared" si="2"/>
        <v>п</v>
      </c>
      <c r="B87" s="157" t="s">
        <v>180</v>
      </c>
      <c r="C87" s="101"/>
      <c r="D87" s="468"/>
      <c r="E87" s="217"/>
      <c r="F87" s="218"/>
      <c r="G87" s="241" t="s">
        <v>299</v>
      </c>
      <c r="H87" s="242"/>
      <c r="I87" s="243"/>
      <c r="J87" s="244">
        <f t="shared" si="15"/>
        <v>698816</v>
      </c>
      <c r="K87" s="245">
        <v>698816</v>
      </c>
      <c r="L87" s="232"/>
      <c r="M87" s="232"/>
      <c r="N87" s="84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6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6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198"/>
    </row>
    <row r="88" spans="1:59" s="235" customFormat="1" ht="37.5" x14ac:dyDescent="0.3">
      <c r="A88" s="156" t="str">
        <f t="shared" ref="A88:A89" si="16">IF(J88=0,"","п")</f>
        <v>п</v>
      </c>
      <c r="B88" s="157" t="s">
        <v>180</v>
      </c>
      <c r="C88" s="101"/>
      <c r="D88" s="212" t="s">
        <v>314</v>
      </c>
      <c r="E88" s="187">
        <v>1061</v>
      </c>
      <c r="F88" s="188" t="s">
        <v>158</v>
      </c>
      <c r="G88" s="189" t="s">
        <v>278</v>
      </c>
      <c r="H88" s="229"/>
      <c r="I88" s="230"/>
      <c r="J88" s="244">
        <f t="shared" si="15"/>
        <v>9186306.25</v>
      </c>
      <c r="K88" s="232">
        <f>1297991+199970+532055</f>
        <v>2030016</v>
      </c>
      <c r="L88" s="232">
        <f>84004+6009795+192384+628000+242107.25</f>
        <v>7156290.25</v>
      </c>
      <c r="M88" s="232">
        <f>84004+6009795+192384+628000+242107.25</f>
        <v>7156290.25</v>
      </c>
      <c r="N88" s="84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6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6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198"/>
    </row>
    <row r="89" spans="1:59" s="235" customFormat="1" ht="37.5" x14ac:dyDescent="0.3">
      <c r="A89" s="458" t="str">
        <f t="shared" si="16"/>
        <v>п</v>
      </c>
      <c r="B89" s="459" t="s">
        <v>180</v>
      </c>
      <c r="C89" s="460"/>
      <c r="D89" s="468"/>
      <c r="E89" s="217"/>
      <c r="F89" s="218"/>
      <c r="G89" s="241" t="s">
        <v>315</v>
      </c>
      <c r="H89" s="242"/>
      <c r="I89" s="243"/>
      <c r="J89" s="244">
        <f t="shared" si="15"/>
        <v>9186306.25</v>
      </c>
      <c r="K89" s="245">
        <v>2030016</v>
      </c>
      <c r="L89" s="245">
        <v>7156290.25</v>
      </c>
      <c r="M89" s="245">
        <v>7156291.25</v>
      </c>
      <c r="N89" s="106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461"/>
    </row>
    <row r="90" spans="1:59" s="33" customFormat="1" ht="59.25" hidden="1" customHeight="1" x14ac:dyDescent="0.25">
      <c r="A90" s="27" t="str">
        <f t="shared" si="2"/>
        <v/>
      </c>
      <c r="B90" s="28" t="s">
        <v>180</v>
      </c>
      <c r="C90" s="28"/>
      <c r="D90" s="212" t="s">
        <v>279</v>
      </c>
      <c r="E90" s="187">
        <v>1070</v>
      </c>
      <c r="F90" s="188" t="s">
        <v>123</v>
      </c>
      <c r="G90" s="189" t="s">
        <v>124</v>
      </c>
      <c r="H90" s="229"/>
      <c r="I90" s="112"/>
      <c r="J90" s="133">
        <f t="shared" si="15"/>
        <v>0</v>
      </c>
      <c r="K90" s="41"/>
      <c r="L90" s="41"/>
      <c r="M90" s="41"/>
      <c r="N90" s="30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2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2"/>
      <c r="BG90" s="107"/>
    </row>
    <row r="91" spans="1:59" s="87" customFormat="1" ht="42.75" hidden="1" customHeight="1" x14ac:dyDescent="0.3">
      <c r="A91" s="27" t="str">
        <f t="shared" ref="A91:A178" si="17">IF(J91=0,"","п")</f>
        <v/>
      </c>
      <c r="B91" s="101" t="s">
        <v>180</v>
      </c>
      <c r="C91" s="101"/>
      <c r="D91" s="468"/>
      <c r="E91" s="217"/>
      <c r="F91" s="218"/>
      <c r="G91" s="241" t="s">
        <v>22</v>
      </c>
      <c r="H91" s="242"/>
      <c r="I91" s="114"/>
      <c r="J91" s="134">
        <f t="shared" si="15"/>
        <v>0</v>
      </c>
      <c r="K91" s="91"/>
      <c r="L91" s="91"/>
      <c r="M91" s="91"/>
      <c r="N91" s="84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6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6"/>
      <c r="BG91" s="107"/>
    </row>
    <row r="92" spans="1:59" s="197" customFormat="1" ht="77.25" customHeight="1" x14ac:dyDescent="0.3">
      <c r="A92" s="156" t="str">
        <f>IF(J92=0,"","п")</f>
        <v>п</v>
      </c>
      <c r="B92" s="157" t="s">
        <v>180</v>
      </c>
      <c r="C92" s="28"/>
      <c r="D92" s="212" t="s">
        <v>283</v>
      </c>
      <c r="E92" s="187">
        <v>1200</v>
      </c>
      <c r="F92" s="188" t="s">
        <v>194</v>
      </c>
      <c r="G92" s="189" t="s">
        <v>284</v>
      </c>
      <c r="H92" s="229"/>
      <c r="I92" s="230"/>
      <c r="J92" s="231">
        <f>+K92+L92</f>
        <v>1198824</v>
      </c>
      <c r="K92" s="232">
        <v>795275</v>
      </c>
      <c r="L92" s="232">
        <v>403549</v>
      </c>
      <c r="M92" s="232">
        <v>403549</v>
      </c>
      <c r="N92" s="30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2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2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198"/>
    </row>
    <row r="93" spans="1:59" s="235" customFormat="1" ht="75" x14ac:dyDescent="0.3">
      <c r="A93" s="156" t="str">
        <f t="shared" ref="A93" si="18">IF(J93=0,"","п")</f>
        <v>п</v>
      </c>
      <c r="B93" s="157" t="s">
        <v>180</v>
      </c>
      <c r="C93" s="28"/>
      <c r="D93" s="212" t="s">
        <v>310</v>
      </c>
      <c r="E93" s="187">
        <v>1210</v>
      </c>
      <c r="F93" s="188" t="s">
        <v>194</v>
      </c>
      <c r="G93" s="189" t="s">
        <v>311</v>
      </c>
      <c r="H93" s="246"/>
      <c r="I93" s="243"/>
      <c r="J93" s="232">
        <f t="shared" ref="J93:J96" si="19">+K93+L93</f>
        <v>61111</v>
      </c>
      <c r="K93" s="232"/>
      <c r="L93" s="232">
        <v>61111</v>
      </c>
      <c r="M93" s="232">
        <v>61111</v>
      </c>
      <c r="N93" s="30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2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2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198"/>
    </row>
    <row r="94" spans="1:59" s="33" customFormat="1" ht="42" hidden="1" customHeight="1" x14ac:dyDescent="0.25">
      <c r="A94" s="27" t="str">
        <f t="shared" si="17"/>
        <v/>
      </c>
      <c r="B94" s="28" t="s">
        <v>180</v>
      </c>
      <c r="C94" s="28"/>
      <c r="D94" s="212" t="s">
        <v>281</v>
      </c>
      <c r="E94" s="187">
        <v>1151</v>
      </c>
      <c r="F94" s="188" t="s">
        <v>194</v>
      </c>
      <c r="G94" s="189" t="s">
        <v>282</v>
      </c>
      <c r="H94" s="229"/>
      <c r="I94" s="112"/>
      <c r="J94" s="232">
        <f t="shared" si="19"/>
        <v>0</v>
      </c>
      <c r="K94" s="232"/>
      <c r="L94" s="232"/>
      <c r="M94" s="232"/>
      <c r="N94" s="386"/>
      <c r="O94" s="437"/>
      <c r="P94" s="437"/>
      <c r="Q94" s="39"/>
      <c r="R94" s="39"/>
      <c r="S94" s="39"/>
      <c r="T94" s="39"/>
      <c r="U94" s="39"/>
      <c r="V94" s="39"/>
      <c r="W94" s="39"/>
      <c r="X94" s="39"/>
      <c r="Y94" s="32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2"/>
      <c r="BG94" s="107"/>
    </row>
    <row r="95" spans="1:59" s="87" customFormat="1" ht="42.75" hidden="1" customHeight="1" x14ac:dyDescent="0.3">
      <c r="A95" s="27" t="str">
        <f t="shared" si="17"/>
        <v/>
      </c>
      <c r="B95" s="101" t="s">
        <v>180</v>
      </c>
      <c r="C95" s="101"/>
      <c r="D95" s="468"/>
      <c r="E95" s="217"/>
      <c r="F95" s="218"/>
      <c r="G95" s="241" t="s">
        <v>22</v>
      </c>
      <c r="H95" s="242"/>
      <c r="I95" s="114"/>
      <c r="J95" s="232">
        <f t="shared" si="19"/>
        <v>0</v>
      </c>
      <c r="K95" s="245"/>
      <c r="L95" s="245"/>
      <c r="M95" s="245"/>
      <c r="N95" s="454"/>
      <c r="O95" s="455"/>
      <c r="P95" s="455"/>
      <c r="Q95" s="88"/>
      <c r="R95" s="88"/>
      <c r="S95" s="88"/>
      <c r="T95" s="88"/>
      <c r="U95" s="88"/>
      <c r="V95" s="88"/>
      <c r="W95" s="88"/>
      <c r="X95" s="88"/>
      <c r="Y95" s="86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6"/>
      <c r="BG95" s="107"/>
    </row>
    <row r="96" spans="1:59" s="87" customFormat="1" ht="93" customHeight="1" x14ac:dyDescent="0.3">
      <c r="A96" s="27" t="str">
        <f t="shared" ref="A96:A97" si="20">IF(J96=0,"","п")</f>
        <v>п</v>
      </c>
      <c r="B96" s="101" t="s">
        <v>180</v>
      </c>
      <c r="C96" s="101"/>
      <c r="D96" s="212" t="s">
        <v>313</v>
      </c>
      <c r="E96" s="187">
        <v>1154</v>
      </c>
      <c r="F96" s="188" t="s">
        <v>194</v>
      </c>
      <c r="G96" s="189" t="s">
        <v>312</v>
      </c>
      <c r="H96" s="229"/>
      <c r="I96" s="112"/>
      <c r="J96" s="232">
        <f t="shared" si="19"/>
        <v>104657.96</v>
      </c>
      <c r="K96" s="232">
        <v>104657.96</v>
      </c>
      <c r="L96" s="232"/>
      <c r="M96" s="232"/>
      <c r="N96" s="454"/>
      <c r="O96" s="455"/>
      <c r="P96" s="455"/>
      <c r="Q96" s="88"/>
      <c r="R96" s="88"/>
      <c r="S96" s="88"/>
      <c r="T96" s="88"/>
      <c r="U96" s="88"/>
      <c r="V96" s="88"/>
      <c r="W96" s="88"/>
      <c r="X96" s="88"/>
      <c r="Y96" s="86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6"/>
      <c r="BG96" s="107"/>
    </row>
    <row r="97" spans="1:59" s="87" customFormat="1" ht="42.75" hidden="1" customHeight="1" x14ac:dyDescent="0.3">
      <c r="A97" s="27" t="str">
        <f t="shared" si="20"/>
        <v/>
      </c>
      <c r="B97" s="101" t="s">
        <v>180</v>
      </c>
      <c r="C97" s="101"/>
      <c r="D97" s="468"/>
      <c r="E97" s="217"/>
      <c r="F97" s="218"/>
      <c r="G97" s="241"/>
      <c r="H97" s="242"/>
      <c r="I97" s="114"/>
      <c r="J97" s="244"/>
      <c r="K97" s="245"/>
      <c r="L97" s="245"/>
      <c r="M97" s="245"/>
      <c r="N97" s="454"/>
      <c r="O97" s="455"/>
      <c r="P97" s="455"/>
      <c r="Q97" s="88"/>
      <c r="R97" s="88"/>
      <c r="S97" s="88"/>
      <c r="T97" s="88"/>
      <c r="U97" s="88"/>
      <c r="V97" s="88"/>
      <c r="W97" s="88"/>
      <c r="X97" s="88"/>
      <c r="Y97" s="86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6"/>
      <c r="BG97" s="107"/>
    </row>
    <row r="98" spans="1:59" s="197" customFormat="1" ht="24" customHeight="1" x14ac:dyDescent="0.3">
      <c r="A98" s="156" t="str">
        <f t="shared" si="17"/>
        <v>п</v>
      </c>
      <c r="B98" s="157" t="s">
        <v>180</v>
      </c>
      <c r="C98" s="28"/>
      <c r="D98" s="212" t="s">
        <v>280</v>
      </c>
      <c r="E98" s="187">
        <v>1142</v>
      </c>
      <c r="F98" s="188" t="s">
        <v>194</v>
      </c>
      <c r="G98" s="189" t="s">
        <v>195</v>
      </c>
      <c r="H98" s="229"/>
      <c r="I98" s="230"/>
      <c r="J98" s="231">
        <f t="shared" si="15"/>
        <v>16290</v>
      </c>
      <c r="K98" s="232">
        <v>16290</v>
      </c>
      <c r="L98" s="232"/>
      <c r="M98" s="232"/>
      <c r="N98" s="386"/>
      <c r="O98" s="437"/>
      <c r="P98" s="437"/>
      <c r="Q98" s="39"/>
      <c r="R98" s="39"/>
      <c r="S98" s="39"/>
      <c r="T98" s="39"/>
      <c r="U98" s="39"/>
      <c r="V98" s="39"/>
      <c r="W98" s="39"/>
      <c r="X98" s="39"/>
      <c r="Y98" s="32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2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198"/>
    </row>
    <row r="99" spans="1:59" s="197" customFormat="1" ht="78" customHeight="1" x14ac:dyDescent="0.3">
      <c r="A99" s="156" t="str">
        <f t="shared" ref="A99:A102" si="21">IF(J99=0,"","п")</f>
        <v>п</v>
      </c>
      <c r="B99" s="157" t="s">
        <v>180</v>
      </c>
      <c r="C99" s="28"/>
      <c r="D99" s="212" t="s">
        <v>316</v>
      </c>
      <c r="E99" s="187">
        <v>1181</v>
      </c>
      <c r="F99" s="188" t="s">
        <v>194</v>
      </c>
      <c r="G99" s="189" t="s">
        <v>317</v>
      </c>
      <c r="H99" s="229"/>
      <c r="I99" s="230"/>
      <c r="J99" s="231">
        <f t="shared" si="15"/>
        <v>543620</v>
      </c>
      <c r="K99" s="232">
        <v>358815</v>
      </c>
      <c r="L99" s="232">
        <v>184805</v>
      </c>
      <c r="M99" s="232">
        <v>184805</v>
      </c>
      <c r="N99" s="386"/>
      <c r="O99" s="437"/>
      <c r="P99" s="437"/>
      <c r="Q99" s="39"/>
      <c r="R99" s="39"/>
      <c r="S99" s="39"/>
      <c r="T99" s="39"/>
      <c r="U99" s="39"/>
      <c r="V99" s="39"/>
      <c r="W99" s="39"/>
      <c r="X99" s="39"/>
      <c r="Y99" s="32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2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198"/>
    </row>
    <row r="100" spans="1:59" s="197" customFormat="1" ht="84" customHeight="1" x14ac:dyDescent="0.3">
      <c r="A100" s="156" t="str">
        <f t="shared" si="21"/>
        <v>п</v>
      </c>
      <c r="B100" s="157" t="s">
        <v>180</v>
      </c>
      <c r="C100" s="28"/>
      <c r="D100" s="212" t="s">
        <v>318</v>
      </c>
      <c r="E100" s="187">
        <v>1182</v>
      </c>
      <c r="F100" s="188" t="s">
        <v>194</v>
      </c>
      <c r="G100" s="189" t="s">
        <v>319</v>
      </c>
      <c r="H100" s="229"/>
      <c r="I100" s="230"/>
      <c r="J100" s="231">
        <f t="shared" si="15"/>
        <v>1268444</v>
      </c>
      <c r="K100" s="232">
        <v>837233</v>
      </c>
      <c r="L100" s="232">
        <v>431211</v>
      </c>
      <c r="M100" s="232">
        <v>431211</v>
      </c>
      <c r="N100" s="386"/>
      <c r="O100" s="437"/>
      <c r="P100" s="437"/>
      <c r="Q100" s="39"/>
      <c r="R100" s="39"/>
      <c r="S100" s="39"/>
      <c r="T100" s="39"/>
      <c r="U100" s="39"/>
      <c r="V100" s="39"/>
      <c r="W100" s="39"/>
      <c r="X100" s="39"/>
      <c r="Y100" s="32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2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198"/>
    </row>
    <row r="101" spans="1:59" s="197" customFormat="1" ht="24" hidden="1" customHeight="1" x14ac:dyDescent="0.3">
      <c r="A101" s="156" t="str">
        <f t="shared" si="21"/>
        <v/>
      </c>
      <c r="B101" s="157" t="s">
        <v>180</v>
      </c>
      <c r="C101" s="28"/>
      <c r="D101" s="212"/>
      <c r="E101" s="187"/>
      <c r="F101" s="188"/>
      <c r="G101" s="189"/>
      <c r="H101" s="229"/>
      <c r="I101" s="230"/>
      <c r="J101" s="231">
        <f t="shared" si="15"/>
        <v>0</v>
      </c>
      <c r="K101" s="232"/>
      <c r="L101" s="232"/>
      <c r="M101" s="232"/>
      <c r="N101" s="386"/>
      <c r="O101" s="437"/>
      <c r="P101" s="437"/>
      <c r="Q101" s="39"/>
      <c r="R101" s="39"/>
      <c r="S101" s="39"/>
      <c r="T101" s="39"/>
      <c r="U101" s="39"/>
      <c r="V101" s="39"/>
      <c r="W101" s="39"/>
      <c r="X101" s="39"/>
      <c r="Y101" s="32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2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198"/>
    </row>
    <row r="102" spans="1:59" s="197" customFormat="1" ht="24" hidden="1" customHeight="1" x14ac:dyDescent="0.3">
      <c r="A102" s="156" t="str">
        <f t="shared" si="21"/>
        <v/>
      </c>
      <c r="B102" s="157" t="s">
        <v>180</v>
      </c>
      <c r="C102" s="28"/>
      <c r="D102" s="212"/>
      <c r="E102" s="187"/>
      <c r="F102" s="188"/>
      <c r="G102" s="189"/>
      <c r="H102" s="229"/>
      <c r="I102" s="230"/>
      <c r="J102" s="231">
        <f t="shared" si="15"/>
        <v>0</v>
      </c>
      <c r="K102" s="232"/>
      <c r="L102" s="232"/>
      <c r="M102" s="232"/>
      <c r="N102" s="386"/>
      <c r="O102" s="437"/>
      <c r="P102" s="437"/>
      <c r="Q102" s="39"/>
      <c r="R102" s="39"/>
      <c r="S102" s="39"/>
      <c r="T102" s="39"/>
      <c r="U102" s="39"/>
      <c r="V102" s="39"/>
      <c r="W102" s="39"/>
      <c r="X102" s="39"/>
      <c r="Y102" s="32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2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198"/>
    </row>
    <row r="103" spans="1:59" s="197" customFormat="1" ht="75" x14ac:dyDescent="0.3">
      <c r="A103" s="156" t="str">
        <f t="shared" si="17"/>
        <v>п</v>
      </c>
      <c r="B103" s="157" t="s">
        <v>180</v>
      </c>
      <c r="C103" s="28"/>
      <c r="D103" s="212" t="s">
        <v>60</v>
      </c>
      <c r="E103" s="216" t="s">
        <v>61</v>
      </c>
      <c r="F103" s="188" t="s">
        <v>160</v>
      </c>
      <c r="G103" s="189" t="s">
        <v>168</v>
      </c>
      <c r="H103" s="190"/>
      <c r="I103" s="191"/>
      <c r="J103" s="192">
        <f t="shared" si="15"/>
        <v>643800</v>
      </c>
      <c r="K103" s="193">
        <v>643800</v>
      </c>
      <c r="L103" s="194"/>
      <c r="M103" s="194"/>
      <c r="N103" s="30">
        <f>SUM(O103:W103)</f>
        <v>0</v>
      </c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2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2">
        <f>Y103+N103</f>
        <v>0</v>
      </c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198"/>
    </row>
    <row r="104" spans="1:59" s="33" customFormat="1" ht="68.25" customHeight="1" x14ac:dyDescent="0.25">
      <c r="A104" s="27" t="str">
        <f t="shared" si="17"/>
        <v>п</v>
      </c>
      <c r="B104" s="28" t="s">
        <v>180</v>
      </c>
      <c r="C104" s="28"/>
      <c r="D104" s="212" t="s">
        <v>59</v>
      </c>
      <c r="E104" s="187" t="s">
        <v>46</v>
      </c>
      <c r="F104" s="188" t="s">
        <v>152</v>
      </c>
      <c r="G104" s="189" t="s">
        <v>167</v>
      </c>
      <c r="H104" s="190"/>
      <c r="I104" s="191"/>
      <c r="J104" s="192">
        <f t="shared" ref="J104:J105" si="22">+K104+L104</f>
        <v>72000</v>
      </c>
      <c r="K104" s="193">
        <v>72000</v>
      </c>
      <c r="L104" s="36"/>
      <c r="M104" s="36"/>
      <c r="N104" s="30">
        <f>SUM(O104:W104)</f>
        <v>0</v>
      </c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2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2">
        <f>Y104+N104</f>
        <v>0</v>
      </c>
      <c r="BG104" s="107"/>
    </row>
    <row r="105" spans="1:59" s="197" customFormat="1" ht="19.5" thickBot="1" x14ac:dyDescent="0.35">
      <c r="A105" s="156" t="str">
        <f t="shared" si="17"/>
        <v>п</v>
      </c>
      <c r="B105" s="157" t="s">
        <v>180</v>
      </c>
      <c r="C105" s="28"/>
      <c r="D105" s="478" t="s">
        <v>304</v>
      </c>
      <c r="E105" s="479">
        <v>9770</v>
      </c>
      <c r="F105" s="480" t="s">
        <v>156</v>
      </c>
      <c r="G105" s="481" t="s">
        <v>79</v>
      </c>
      <c r="H105" s="482"/>
      <c r="I105" s="483"/>
      <c r="J105" s="484">
        <f t="shared" si="22"/>
        <v>1032000</v>
      </c>
      <c r="K105" s="485"/>
      <c r="L105" s="485">
        <f>684000+348000</f>
        <v>1032000</v>
      </c>
      <c r="M105" s="485">
        <f>684000+348000</f>
        <v>1032000</v>
      </c>
      <c r="N105" s="30">
        <f>SUM(O105:W105)</f>
        <v>0</v>
      </c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2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2">
        <f>Y105+N105</f>
        <v>0</v>
      </c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198"/>
    </row>
    <row r="106" spans="1:59" s="87" customFormat="1" ht="42.75" hidden="1" customHeight="1" x14ac:dyDescent="0.3">
      <c r="A106" s="27" t="str">
        <f t="shared" si="17"/>
        <v/>
      </c>
      <c r="B106" s="101" t="s">
        <v>180</v>
      </c>
      <c r="C106" s="101"/>
      <c r="D106" s="468"/>
      <c r="E106" s="217"/>
      <c r="F106" s="218"/>
      <c r="G106" s="241" t="s">
        <v>22</v>
      </c>
      <c r="H106" s="242"/>
      <c r="I106" s="114"/>
      <c r="J106" s="134">
        <f t="shared" si="15"/>
        <v>0</v>
      </c>
      <c r="K106" s="91"/>
      <c r="L106" s="91"/>
      <c r="M106" s="91"/>
      <c r="N106" s="84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6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6"/>
      <c r="BG106" s="107"/>
    </row>
    <row r="107" spans="1:59" s="33" customFormat="1" ht="37.5" hidden="1" customHeight="1" x14ac:dyDescent="0.25">
      <c r="A107" s="27" t="str">
        <f t="shared" si="17"/>
        <v/>
      </c>
      <c r="B107" s="28" t="s">
        <v>181</v>
      </c>
      <c r="C107" s="28"/>
      <c r="D107" s="225" t="s">
        <v>62</v>
      </c>
      <c r="E107" s="200"/>
      <c r="F107" s="200"/>
      <c r="G107" s="201" t="s">
        <v>9</v>
      </c>
      <c r="H107" s="375"/>
      <c r="I107" s="115"/>
      <c r="J107" s="93">
        <f t="shared" si="15"/>
        <v>0</v>
      </c>
      <c r="K107" s="93"/>
      <c r="L107" s="93"/>
      <c r="M107" s="93"/>
      <c r="N107" s="30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2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2"/>
      <c r="BG107" s="107"/>
    </row>
    <row r="108" spans="1:59" s="33" customFormat="1" ht="37.5" hidden="1" customHeight="1" x14ac:dyDescent="0.25">
      <c r="A108" s="27" t="str">
        <f t="shared" si="17"/>
        <v/>
      </c>
      <c r="B108" s="28" t="s">
        <v>181</v>
      </c>
      <c r="C108" s="28"/>
      <c r="D108" s="225" t="s">
        <v>63</v>
      </c>
      <c r="E108" s="200"/>
      <c r="F108" s="200"/>
      <c r="G108" s="201" t="s">
        <v>9</v>
      </c>
      <c r="H108" s="247"/>
      <c r="I108" s="116"/>
      <c r="J108" s="90">
        <f t="shared" si="15"/>
        <v>0</v>
      </c>
      <c r="K108" s="90">
        <f>+K109</f>
        <v>0</v>
      </c>
      <c r="L108" s="90">
        <f>+L109</f>
        <v>0</v>
      </c>
      <c r="M108" s="90">
        <f>+M109</f>
        <v>0</v>
      </c>
      <c r="N108" s="30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2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2"/>
      <c r="BG108" s="107"/>
    </row>
    <row r="109" spans="1:59" s="33" customFormat="1" ht="19.5" hidden="1" thickBot="1" x14ac:dyDescent="0.3">
      <c r="A109" s="27" t="str">
        <f t="shared" si="17"/>
        <v/>
      </c>
      <c r="B109" s="28" t="s">
        <v>181</v>
      </c>
      <c r="C109" s="28"/>
      <c r="D109" s="212"/>
      <c r="E109" s="187"/>
      <c r="F109" s="188"/>
      <c r="G109" s="189"/>
      <c r="H109" s="234"/>
      <c r="I109" s="112"/>
      <c r="J109" s="41">
        <f t="shared" si="15"/>
        <v>0</v>
      </c>
      <c r="K109" s="41"/>
      <c r="L109" s="41">
        <f>600000-600000</f>
        <v>0</v>
      </c>
      <c r="M109" s="41">
        <f>600000-600000</f>
        <v>0</v>
      </c>
      <c r="N109" s="30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2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2"/>
      <c r="BG109" s="107"/>
    </row>
    <row r="110" spans="1:59" s="87" customFormat="1" ht="19.5" hidden="1" thickBot="1" x14ac:dyDescent="0.35">
      <c r="A110" s="27" t="str">
        <f t="shared" si="17"/>
        <v/>
      </c>
      <c r="B110" s="101" t="s">
        <v>181</v>
      </c>
      <c r="C110" s="101"/>
      <c r="D110" s="469"/>
      <c r="E110" s="376"/>
      <c r="F110" s="390"/>
      <c r="G110" s="449"/>
      <c r="H110" s="376"/>
      <c r="I110" s="117"/>
      <c r="J110" s="99">
        <f t="shared" si="15"/>
        <v>0</v>
      </c>
      <c r="K110" s="99"/>
      <c r="L110" s="99">
        <f>600000-600000</f>
        <v>0</v>
      </c>
      <c r="M110" s="99">
        <f>600000-600000</f>
        <v>0</v>
      </c>
      <c r="N110" s="84">
        <f>SUM(O110:W110)</f>
        <v>0</v>
      </c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6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6">
        <f>Y110+N110</f>
        <v>0</v>
      </c>
      <c r="BG110" s="107"/>
    </row>
    <row r="111" spans="1:59" s="197" customFormat="1" ht="82.5" customHeight="1" x14ac:dyDescent="0.3">
      <c r="A111" s="156" t="str">
        <f t="shared" si="17"/>
        <v>п</v>
      </c>
      <c r="B111" s="157"/>
      <c r="C111" s="28"/>
      <c r="D111" s="172"/>
      <c r="E111" s="171"/>
      <c r="F111" s="172"/>
      <c r="G111" s="173"/>
      <c r="H111" s="173" t="s">
        <v>238</v>
      </c>
      <c r="I111" s="175" t="s">
        <v>125</v>
      </c>
      <c r="J111" s="177">
        <f>+K111+L111</f>
        <v>991852</v>
      </c>
      <c r="K111" s="177">
        <f>+K112+K117+K126+K122</f>
        <v>619702</v>
      </c>
      <c r="L111" s="177">
        <f>+L112+L117+L126+L122</f>
        <v>372150</v>
      </c>
      <c r="M111" s="177">
        <f>+M112+M117+M126+M122</f>
        <v>372150</v>
      </c>
      <c r="N111" s="30">
        <f>SUM(O111:W111)</f>
        <v>0</v>
      </c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2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2">
        <f>Y111+N111</f>
        <v>0</v>
      </c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198"/>
    </row>
    <row r="112" spans="1:59" s="44" customFormat="1" ht="19.5" hidden="1" x14ac:dyDescent="0.25">
      <c r="A112" s="27" t="str">
        <f t="shared" si="17"/>
        <v/>
      </c>
      <c r="B112" s="28" t="s">
        <v>178</v>
      </c>
      <c r="C112" s="103"/>
      <c r="D112" s="179" t="s">
        <v>29</v>
      </c>
      <c r="E112" s="179"/>
      <c r="F112" s="179"/>
      <c r="G112" s="181" t="s">
        <v>3</v>
      </c>
      <c r="H112" s="271"/>
      <c r="I112" s="119"/>
      <c r="J112" s="62">
        <f t="shared" si="15"/>
        <v>0</v>
      </c>
      <c r="K112" s="62">
        <f>K113</f>
        <v>0</v>
      </c>
      <c r="L112" s="62">
        <f>L113</f>
        <v>0</v>
      </c>
      <c r="M112" s="62">
        <f>M113</f>
        <v>0</v>
      </c>
      <c r="N112" s="30">
        <f>SUM(O112:W112)</f>
        <v>0</v>
      </c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32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32">
        <f>Y112+N112</f>
        <v>0</v>
      </c>
      <c r="BG112" s="107"/>
    </row>
    <row r="113" spans="1:59" s="44" customFormat="1" ht="19.5" hidden="1" x14ac:dyDescent="0.25">
      <c r="A113" s="27" t="str">
        <f t="shared" si="17"/>
        <v/>
      </c>
      <c r="B113" s="28" t="s">
        <v>178</v>
      </c>
      <c r="C113" s="103"/>
      <c r="D113" s="179" t="s">
        <v>28</v>
      </c>
      <c r="E113" s="179"/>
      <c r="F113" s="179"/>
      <c r="G113" s="181" t="s">
        <v>3</v>
      </c>
      <c r="H113" s="247"/>
      <c r="I113" s="116"/>
      <c r="J113" s="90">
        <f t="shared" si="15"/>
        <v>0</v>
      </c>
      <c r="K113" s="90">
        <f>+K115+K116+K114</f>
        <v>0</v>
      </c>
      <c r="L113" s="90">
        <f>+L115+L116+L114</f>
        <v>0</v>
      </c>
      <c r="M113" s="90">
        <f>+M115+M116+M114</f>
        <v>0</v>
      </c>
      <c r="N113" s="30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32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32"/>
      <c r="BG113" s="107"/>
    </row>
    <row r="114" spans="1:59" s="44" customFormat="1" ht="75" hidden="1" x14ac:dyDescent="0.25">
      <c r="A114" s="27" t="str">
        <f>IF(J114=0,"","п")</f>
        <v/>
      </c>
      <c r="B114" s="28" t="s">
        <v>178</v>
      </c>
      <c r="C114" s="103"/>
      <c r="D114" s="212" t="s">
        <v>101</v>
      </c>
      <c r="E114" s="234" t="s">
        <v>102</v>
      </c>
      <c r="F114" s="211" t="s">
        <v>93</v>
      </c>
      <c r="G114" s="447" t="s">
        <v>103</v>
      </c>
      <c r="H114" s="247"/>
      <c r="I114" s="116"/>
      <c r="J114" s="41">
        <f t="shared" si="15"/>
        <v>0</v>
      </c>
      <c r="K114" s="41"/>
      <c r="L114" s="41"/>
      <c r="M114" s="41"/>
      <c r="N114" s="30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32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32"/>
      <c r="BG114" s="107"/>
    </row>
    <row r="115" spans="1:59" s="33" customFormat="1" ht="37.5" hidden="1" x14ac:dyDescent="0.25">
      <c r="A115" s="27" t="str">
        <f t="shared" si="17"/>
        <v/>
      </c>
      <c r="B115" s="28" t="s">
        <v>178</v>
      </c>
      <c r="C115" s="103"/>
      <c r="D115" s="372" t="s">
        <v>44</v>
      </c>
      <c r="E115" s="234" t="s">
        <v>172</v>
      </c>
      <c r="F115" s="211" t="s">
        <v>161</v>
      </c>
      <c r="G115" s="447" t="s">
        <v>170</v>
      </c>
      <c r="H115" s="234"/>
      <c r="I115" s="112"/>
      <c r="J115" s="41">
        <f t="shared" si="15"/>
        <v>0</v>
      </c>
      <c r="K115" s="41"/>
      <c r="L115" s="41"/>
      <c r="M115" s="41"/>
      <c r="N115" s="30">
        <f>SUM(O115:W115)</f>
        <v>0</v>
      </c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2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2">
        <f>Y115+N115</f>
        <v>0</v>
      </c>
      <c r="BG115" s="107"/>
    </row>
    <row r="116" spans="1:59" s="33" customFormat="1" ht="18.75" hidden="1" x14ac:dyDescent="0.25">
      <c r="A116" s="27" t="str">
        <f t="shared" si="17"/>
        <v/>
      </c>
      <c r="B116" s="28" t="s">
        <v>178</v>
      </c>
      <c r="C116" s="103"/>
      <c r="D116" s="212"/>
      <c r="E116" s="187"/>
      <c r="F116" s="188"/>
      <c r="G116" s="189"/>
      <c r="H116" s="234"/>
      <c r="I116" s="112"/>
      <c r="J116" s="41"/>
      <c r="K116" s="41"/>
      <c r="L116" s="41"/>
      <c r="M116" s="41"/>
      <c r="N116" s="30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2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2"/>
      <c r="BG116" s="107"/>
    </row>
    <row r="117" spans="1:59" s="199" customFormat="1" ht="39" x14ac:dyDescent="0.3">
      <c r="A117" s="156" t="str">
        <f t="shared" si="17"/>
        <v>п</v>
      </c>
      <c r="B117" s="157" t="s">
        <v>180</v>
      </c>
      <c r="C117" s="103"/>
      <c r="D117" s="470" t="s">
        <v>55</v>
      </c>
      <c r="E117" s="247"/>
      <c r="F117" s="248"/>
      <c r="G117" s="249" t="s">
        <v>2</v>
      </c>
      <c r="H117" s="250"/>
      <c r="I117" s="251"/>
      <c r="J117" s="252">
        <f t="shared" si="15"/>
        <v>594511</v>
      </c>
      <c r="K117" s="252">
        <f>K118</f>
        <v>420715</v>
      </c>
      <c r="L117" s="252">
        <f>L118</f>
        <v>173796</v>
      </c>
      <c r="M117" s="252">
        <f>M118</f>
        <v>173796</v>
      </c>
      <c r="N117" s="30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198"/>
    </row>
    <row r="118" spans="1:59" s="199" customFormat="1" ht="39" x14ac:dyDescent="0.3">
      <c r="A118" s="156" t="str">
        <f t="shared" si="17"/>
        <v>п</v>
      </c>
      <c r="B118" s="157" t="s">
        <v>180</v>
      </c>
      <c r="C118" s="103"/>
      <c r="D118" s="470" t="s">
        <v>56</v>
      </c>
      <c r="E118" s="247"/>
      <c r="F118" s="248"/>
      <c r="G118" s="249" t="s">
        <v>2</v>
      </c>
      <c r="H118" s="250"/>
      <c r="I118" s="251"/>
      <c r="J118" s="252">
        <f t="shared" si="15"/>
        <v>594511</v>
      </c>
      <c r="K118" s="252">
        <f>SUM(K119:K121)</f>
        <v>420715</v>
      </c>
      <c r="L118" s="252">
        <f>SUM(L119:L121)</f>
        <v>173796</v>
      </c>
      <c r="M118" s="252">
        <f>SUM(M119:M121)</f>
        <v>173796</v>
      </c>
      <c r="N118" s="30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198"/>
    </row>
    <row r="119" spans="1:59" s="33" customFormat="1" ht="29.25" hidden="1" customHeight="1" x14ac:dyDescent="0.25">
      <c r="A119" s="27" t="str">
        <f t="shared" si="17"/>
        <v/>
      </c>
      <c r="B119" s="28" t="s">
        <v>180</v>
      </c>
      <c r="C119" s="103"/>
      <c r="D119" s="372" t="s">
        <v>57</v>
      </c>
      <c r="E119" s="234">
        <v>1010</v>
      </c>
      <c r="F119" s="211" t="s">
        <v>157</v>
      </c>
      <c r="G119" s="447" t="s">
        <v>58</v>
      </c>
      <c r="H119" s="234"/>
      <c r="I119" s="112"/>
      <c r="J119" s="41">
        <f t="shared" si="15"/>
        <v>0</v>
      </c>
      <c r="K119" s="41"/>
      <c r="L119" s="41"/>
      <c r="M119" s="41"/>
      <c r="N119" s="30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2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2"/>
      <c r="BG119" s="107"/>
    </row>
    <row r="120" spans="1:59" s="197" customFormat="1" ht="37.5" x14ac:dyDescent="0.3">
      <c r="A120" s="156" t="str">
        <f t="shared" si="17"/>
        <v>п</v>
      </c>
      <c r="B120" s="157" t="s">
        <v>180</v>
      </c>
      <c r="C120" s="103"/>
      <c r="D120" s="212" t="s">
        <v>276</v>
      </c>
      <c r="E120" s="187">
        <v>1021</v>
      </c>
      <c r="F120" s="188" t="s">
        <v>158</v>
      </c>
      <c r="G120" s="215" t="s">
        <v>278</v>
      </c>
      <c r="H120" s="234"/>
      <c r="I120" s="230"/>
      <c r="J120" s="232">
        <f t="shared" ref="J120:J127" si="23">+K120+L120</f>
        <v>594511</v>
      </c>
      <c r="K120" s="232">
        <v>420715</v>
      </c>
      <c r="L120" s="232">
        <v>173796</v>
      </c>
      <c r="M120" s="232">
        <v>173796</v>
      </c>
      <c r="N120" s="30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2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2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198"/>
    </row>
    <row r="121" spans="1:59" s="33" customFormat="1" ht="18.75" hidden="1" x14ac:dyDescent="0.25">
      <c r="A121" s="27" t="str">
        <f t="shared" ref="A121:A127" si="24">IF(J121=0,"","п")</f>
        <v/>
      </c>
      <c r="B121" s="28" t="s">
        <v>180</v>
      </c>
      <c r="C121" s="103"/>
      <c r="D121" s="372"/>
      <c r="E121" s="210"/>
      <c r="F121" s="211"/>
      <c r="G121" s="447"/>
      <c r="H121" s="234"/>
      <c r="I121" s="112"/>
      <c r="J121" s="41">
        <f t="shared" si="23"/>
        <v>0</v>
      </c>
      <c r="K121" s="41"/>
      <c r="L121" s="41"/>
      <c r="M121" s="41"/>
      <c r="N121" s="30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2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2"/>
      <c r="BG121" s="107"/>
    </row>
    <row r="122" spans="1:59" s="197" customFormat="1" ht="39" x14ac:dyDescent="0.3">
      <c r="A122" s="156" t="str">
        <f t="shared" si="24"/>
        <v>п</v>
      </c>
      <c r="B122" s="157" t="s">
        <v>13</v>
      </c>
      <c r="C122" s="103"/>
      <c r="D122" s="225" t="s">
        <v>165</v>
      </c>
      <c r="E122" s="200"/>
      <c r="F122" s="200"/>
      <c r="G122" s="201" t="s">
        <v>296</v>
      </c>
      <c r="H122" s="234"/>
      <c r="I122" s="227"/>
      <c r="J122" s="252">
        <f t="shared" si="23"/>
        <v>198915</v>
      </c>
      <c r="K122" s="252">
        <f>+K123</f>
        <v>561</v>
      </c>
      <c r="L122" s="252">
        <f>+L123</f>
        <v>198354</v>
      </c>
      <c r="M122" s="252">
        <f>+M123</f>
        <v>198354</v>
      </c>
      <c r="N122" s="30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2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2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198"/>
    </row>
    <row r="123" spans="1:59" s="197" customFormat="1" ht="39" x14ac:dyDescent="0.3">
      <c r="A123" s="156" t="str">
        <f t="shared" si="24"/>
        <v>п</v>
      </c>
      <c r="B123" s="157" t="s">
        <v>13</v>
      </c>
      <c r="C123" s="103"/>
      <c r="D123" s="225" t="s">
        <v>166</v>
      </c>
      <c r="E123" s="200"/>
      <c r="F123" s="200"/>
      <c r="G123" s="201" t="s">
        <v>296</v>
      </c>
      <c r="H123" s="234"/>
      <c r="I123" s="227"/>
      <c r="J123" s="252">
        <f>SUM(J124:J125)</f>
        <v>198915</v>
      </c>
      <c r="K123" s="252">
        <f>SUM(K124:K125)</f>
        <v>561</v>
      </c>
      <c r="L123" s="252">
        <f>SUM(L124:L125)</f>
        <v>198354</v>
      </c>
      <c r="M123" s="252">
        <f>SUM(M124:M125)</f>
        <v>198354</v>
      </c>
      <c r="N123" s="30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2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2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198"/>
    </row>
    <row r="124" spans="1:59" s="197" customFormat="1" ht="37.5" x14ac:dyDescent="0.3">
      <c r="A124" s="156" t="str">
        <f t="shared" si="24"/>
        <v>п</v>
      </c>
      <c r="B124" s="157" t="s">
        <v>13</v>
      </c>
      <c r="C124" s="27" t="str">
        <f>IF(L124=0,"","п")</f>
        <v>п</v>
      </c>
      <c r="D124" s="212" t="s">
        <v>255</v>
      </c>
      <c r="E124" s="187">
        <v>4060</v>
      </c>
      <c r="F124" s="188" t="s">
        <v>257</v>
      </c>
      <c r="G124" s="189" t="s">
        <v>258</v>
      </c>
      <c r="H124" s="234"/>
      <c r="I124" s="230"/>
      <c r="J124" s="232">
        <f t="shared" si="23"/>
        <v>99015</v>
      </c>
      <c r="K124" s="232">
        <v>561</v>
      </c>
      <c r="L124" s="232">
        <v>98454</v>
      </c>
      <c r="M124" s="232">
        <v>98454</v>
      </c>
      <c r="N124" s="30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2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2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198"/>
    </row>
    <row r="125" spans="1:59" s="197" customFormat="1" ht="37.5" x14ac:dyDescent="0.3">
      <c r="A125" s="156" t="str">
        <f t="shared" si="24"/>
        <v>п</v>
      </c>
      <c r="B125" s="157" t="s">
        <v>13</v>
      </c>
      <c r="C125" s="103"/>
      <c r="D125" s="212">
        <v>1015031</v>
      </c>
      <c r="E125" s="187" t="s">
        <v>46</v>
      </c>
      <c r="F125" s="188" t="s">
        <v>152</v>
      </c>
      <c r="G125" s="189" t="s">
        <v>167</v>
      </c>
      <c r="H125" s="234"/>
      <c r="I125" s="230"/>
      <c r="J125" s="232">
        <f t="shared" si="23"/>
        <v>99900</v>
      </c>
      <c r="K125" s="232"/>
      <c r="L125" s="232">
        <v>99900</v>
      </c>
      <c r="M125" s="232">
        <v>99900</v>
      </c>
      <c r="N125" s="30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2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2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198"/>
    </row>
    <row r="126" spans="1:59" s="197" customFormat="1" ht="58.5" x14ac:dyDescent="0.3">
      <c r="A126" s="156" t="str">
        <f t="shared" si="24"/>
        <v>п</v>
      </c>
      <c r="B126" s="157" t="s">
        <v>181</v>
      </c>
      <c r="C126" s="103"/>
      <c r="D126" s="225" t="s">
        <v>62</v>
      </c>
      <c r="E126" s="200"/>
      <c r="F126" s="200"/>
      <c r="G126" s="201" t="s">
        <v>9</v>
      </c>
      <c r="H126" s="234"/>
      <c r="I126" s="230"/>
      <c r="J126" s="252">
        <f t="shared" si="23"/>
        <v>198426</v>
      </c>
      <c r="K126" s="252">
        <f>+K127</f>
        <v>198426</v>
      </c>
      <c r="L126" s="252">
        <f>+L127</f>
        <v>0</v>
      </c>
      <c r="M126" s="252">
        <f>+M127</f>
        <v>0</v>
      </c>
      <c r="N126" s="30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2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2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198"/>
    </row>
    <row r="127" spans="1:59" s="197" customFormat="1" ht="58.5" customHeight="1" x14ac:dyDescent="0.3">
      <c r="A127" s="156" t="str">
        <f t="shared" si="24"/>
        <v>п</v>
      </c>
      <c r="B127" s="157" t="s">
        <v>181</v>
      </c>
      <c r="C127" s="103"/>
      <c r="D127" s="225" t="s">
        <v>63</v>
      </c>
      <c r="E127" s="200"/>
      <c r="F127" s="200"/>
      <c r="G127" s="201" t="s">
        <v>9</v>
      </c>
      <c r="H127" s="234"/>
      <c r="I127" s="230"/>
      <c r="J127" s="252">
        <f t="shared" si="23"/>
        <v>198426</v>
      </c>
      <c r="K127" s="252">
        <f>SUM(K128:K128)</f>
        <v>198426</v>
      </c>
      <c r="L127" s="252">
        <f>SUM(L128:L128)</f>
        <v>0</v>
      </c>
      <c r="M127" s="252">
        <f>SUM(M128:M128)</f>
        <v>0</v>
      </c>
      <c r="N127" s="30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2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2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198"/>
    </row>
    <row r="128" spans="1:59" s="197" customFormat="1" ht="34.5" customHeight="1" thickBot="1" x14ac:dyDescent="0.35">
      <c r="A128" s="156" t="str">
        <f t="shared" si="17"/>
        <v>п</v>
      </c>
      <c r="B128" s="157" t="s">
        <v>181</v>
      </c>
      <c r="C128" s="103"/>
      <c r="D128" s="263">
        <v>1216030</v>
      </c>
      <c r="E128" s="254" t="s">
        <v>71</v>
      </c>
      <c r="F128" s="255" t="s">
        <v>151</v>
      </c>
      <c r="G128" s="256" t="s">
        <v>72</v>
      </c>
      <c r="H128" s="254"/>
      <c r="I128" s="257"/>
      <c r="J128" s="258">
        <f t="shared" si="15"/>
        <v>198426</v>
      </c>
      <c r="K128" s="258">
        <v>198426</v>
      </c>
      <c r="L128" s="258"/>
      <c r="M128" s="258"/>
      <c r="N128" s="30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2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2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198"/>
    </row>
    <row r="129" spans="1:59" s="199" customFormat="1" ht="72" customHeight="1" x14ac:dyDescent="0.3">
      <c r="A129" s="156" t="str">
        <f>IF(J129=0,"","п")</f>
        <v>п</v>
      </c>
      <c r="B129" s="157"/>
      <c r="C129" s="28"/>
      <c r="D129" s="236"/>
      <c r="E129" s="173"/>
      <c r="F129" s="236"/>
      <c r="G129" s="173"/>
      <c r="H129" s="174" t="s">
        <v>289</v>
      </c>
      <c r="I129" s="175" t="s">
        <v>290</v>
      </c>
      <c r="J129" s="176">
        <f>+K129+L129</f>
        <v>28000</v>
      </c>
      <c r="K129" s="177">
        <f t="shared" ref="K129:M130" si="25">+K130</f>
        <v>28000</v>
      </c>
      <c r="L129" s="177">
        <f t="shared" si="25"/>
        <v>0</v>
      </c>
      <c r="M129" s="177">
        <f t="shared" si="25"/>
        <v>0</v>
      </c>
      <c r="N129" s="30">
        <f>SUM(O129:W129)</f>
        <v>0</v>
      </c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2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2">
        <f>Y129+N129</f>
        <v>0</v>
      </c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198"/>
    </row>
    <row r="130" spans="1:59" s="199" customFormat="1" ht="19.5" x14ac:dyDescent="0.3">
      <c r="A130" s="156" t="str">
        <f>IF(J130=0,"","п")</f>
        <v>п</v>
      </c>
      <c r="B130" s="157" t="s">
        <v>178</v>
      </c>
      <c r="C130" s="28"/>
      <c r="D130" s="179" t="s">
        <v>29</v>
      </c>
      <c r="E130" s="179"/>
      <c r="F130" s="179"/>
      <c r="G130" s="181" t="s">
        <v>3</v>
      </c>
      <c r="H130" s="202"/>
      <c r="I130" s="203"/>
      <c r="J130" s="204">
        <f>+K130+L130</f>
        <v>28000</v>
      </c>
      <c r="K130" s="205">
        <f t="shared" si="25"/>
        <v>28000</v>
      </c>
      <c r="L130" s="205">
        <f t="shared" si="25"/>
        <v>0</v>
      </c>
      <c r="M130" s="205">
        <f t="shared" si="25"/>
        <v>0</v>
      </c>
      <c r="N130" s="30">
        <f>SUM(O130:W130)</f>
        <v>0</v>
      </c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32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32">
        <f>Y130+N130</f>
        <v>0</v>
      </c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198"/>
    </row>
    <row r="131" spans="1:59" s="199" customFormat="1" ht="19.5" x14ac:dyDescent="0.3">
      <c r="A131" s="156" t="str">
        <f>IF(J131=0,"","п")</f>
        <v>п</v>
      </c>
      <c r="B131" s="157" t="s">
        <v>178</v>
      </c>
      <c r="C131" s="28"/>
      <c r="D131" s="179" t="s">
        <v>28</v>
      </c>
      <c r="E131" s="179"/>
      <c r="F131" s="179"/>
      <c r="G131" s="181" t="s">
        <v>3</v>
      </c>
      <c r="H131" s="259"/>
      <c r="I131" s="260"/>
      <c r="J131" s="261">
        <f>+K131+L131</f>
        <v>28000</v>
      </c>
      <c r="K131" s="262">
        <f>SUM(K132:K132)</f>
        <v>28000</v>
      </c>
      <c r="L131" s="262">
        <f>SUM(L132:L132)</f>
        <v>0</v>
      </c>
      <c r="M131" s="262">
        <f>SUM(M132:M132)</f>
        <v>0</v>
      </c>
      <c r="N131" s="30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32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32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198"/>
    </row>
    <row r="132" spans="1:59" s="197" customFormat="1" ht="38.25" thickBot="1" x14ac:dyDescent="0.35">
      <c r="A132" s="156" t="str">
        <f>IF(J132=0,"","п")</f>
        <v>п</v>
      </c>
      <c r="B132" s="157" t="s">
        <v>178</v>
      </c>
      <c r="C132" s="103"/>
      <c r="D132" s="263" t="s">
        <v>53</v>
      </c>
      <c r="E132" s="255" t="s">
        <v>54</v>
      </c>
      <c r="F132" s="255" t="s">
        <v>160</v>
      </c>
      <c r="G132" s="256" t="s">
        <v>275</v>
      </c>
      <c r="H132" s="264"/>
      <c r="I132" s="257"/>
      <c r="J132" s="258">
        <f>+K132+L132</f>
        <v>28000</v>
      </c>
      <c r="K132" s="258">
        <v>28000</v>
      </c>
      <c r="L132" s="258"/>
      <c r="M132" s="258"/>
      <c r="N132" s="30">
        <f>SUM(O132:W132)</f>
        <v>0</v>
      </c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2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2">
        <f>Y132+N132</f>
        <v>0</v>
      </c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198"/>
    </row>
    <row r="133" spans="1:59" s="199" customFormat="1" ht="62.25" customHeight="1" x14ac:dyDescent="0.3">
      <c r="A133" s="156" t="str">
        <f t="shared" si="17"/>
        <v>п</v>
      </c>
      <c r="B133" s="157"/>
      <c r="C133" s="28"/>
      <c r="D133" s="236"/>
      <c r="E133" s="173"/>
      <c r="F133" s="236"/>
      <c r="G133" s="173"/>
      <c r="H133" s="174" t="s">
        <v>264</v>
      </c>
      <c r="I133" s="175" t="s">
        <v>265</v>
      </c>
      <c r="J133" s="176">
        <f t="shared" si="15"/>
        <v>15461</v>
      </c>
      <c r="K133" s="177">
        <f t="shared" ref="K133:M134" si="26">+K134</f>
        <v>15461</v>
      </c>
      <c r="L133" s="177">
        <f t="shared" si="26"/>
        <v>0</v>
      </c>
      <c r="M133" s="177">
        <f t="shared" si="26"/>
        <v>0</v>
      </c>
      <c r="N133" s="30">
        <f>SUM(O133:W133)</f>
        <v>0</v>
      </c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2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2">
        <f>Y133+N133</f>
        <v>0</v>
      </c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198"/>
    </row>
    <row r="134" spans="1:59" s="199" customFormat="1" ht="39" x14ac:dyDescent="0.3">
      <c r="A134" s="156" t="str">
        <f t="shared" si="17"/>
        <v>п</v>
      </c>
      <c r="B134" s="157" t="s">
        <v>13</v>
      </c>
      <c r="C134" s="28"/>
      <c r="D134" s="225" t="s">
        <v>165</v>
      </c>
      <c r="E134" s="200"/>
      <c r="F134" s="200"/>
      <c r="G134" s="201" t="s">
        <v>296</v>
      </c>
      <c r="H134" s="202"/>
      <c r="I134" s="203"/>
      <c r="J134" s="204">
        <f t="shared" si="15"/>
        <v>15461</v>
      </c>
      <c r="K134" s="205">
        <f t="shared" si="26"/>
        <v>15461</v>
      </c>
      <c r="L134" s="205">
        <f t="shared" si="26"/>
        <v>0</v>
      </c>
      <c r="M134" s="205">
        <f t="shared" si="26"/>
        <v>0</v>
      </c>
      <c r="N134" s="30">
        <f>SUM(O134:W134)</f>
        <v>0</v>
      </c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32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32">
        <f>Y134+N134</f>
        <v>0</v>
      </c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198"/>
    </row>
    <row r="135" spans="1:59" s="199" customFormat="1" ht="39" x14ac:dyDescent="0.3">
      <c r="A135" s="156" t="str">
        <f t="shared" si="17"/>
        <v>п</v>
      </c>
      <c r="B135" s="157" t="s">
        <v>13</v>
      </c>
      <c r="C135" s="28"/>
      <c r="D135" s="225" t="s">
        <v>166</v>
      </c>
      <c r="E135" s="200"/>
      <c r="F135" s="200"/>
      <c r="G135" s="201" t="s">
        <v>296</v>
      </c>
      <c r="H135" s="259"/>
      <c r="I135" s="260"/>
      <c r="J135" s="261">
        <f t="shared" si="15"/>
        <v>15461</v>
      </c>
      <c r="K135" s="262">
        <f>SUM(K136:K136)</f>
        <v>15461</v>
      </c>
      <c r="L135" s="262">
        <f>SUM(L136:L136)</f>
        <v>0</v>
      </c>
      <c r="M135" s="262">
        <f>SUM(M136:M136)</f>
        <v>0</v>
      </c>
      <c r="N135" s="30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32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32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198"/>
    </row>
    <row r="136" spans="1:59" s="197" customFormat="1" ht="19.5" thickBot="1" x14ac:dyDescent="0.35">
      <c r="A136" s="156" t="str">
        <f t="shared" si="17"/>
        <v>п</v>
      </c>
      <c r="B136" s="157" t="s">
        <v>13</v>
      </c>
      <c r="C136" s="28"/>
      <c r="D136" s="212" t="s">
        <v>197</v>
      </c>
      <c r="E136" s="187" t="s">
        <v>196</v>
      </c>
      <c r="F136" s="188" t="s">
        <v>27</v>
      </c>
      <c r="G136" s="189" t="s">
        <v>198</v>
      </c>
      <c r="H136" s="229"/>
      <c r="I136" s="230"/>
      <c r="J136" s="231">
        <f t="shared" si="15"/>
        <v>15461</v>
      </c>
      <c r="K136" s="232">
        <v>15461</v>
      </c>
      <c r="L136" s="233"/>
      <c r="M136" s="233"/>
      <c r="N136" s="30">
        <f>SUM(O136:W136)</f>
        <v>0</v>
      </c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2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2">
        <f>Y136+N136</f>
        <v>0</v>
      </c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198"/>
    </row>
    <row r="137" spans="1:59" s="33" customFormat="1" ht="54.75" hidden="1" thickBot="1" x14ac:dyDescent="0.3">
      <c r="A137" s="27" t="str">
        <f t="shared" si="17"/>
        <v/>
      </c>
      <c r="B137" s="28"/>
      <c r="C137" s="28"/>
      <c r="D137" s="172"/>
      <c r="E137" s="171"/>
      <c r="F137" s="172"/>
      <c r="G137" s="173"/>
      <c r="H137" s="173" t="s">
        <v>229</v>
      </c>
      <c r="I137" s="118" t="s">
        <v>230</v>
      </c>
      <c r="J137" s="29">
        <f t="shared" si="15"/>
        <v>0</v>
      </c>
      <c r="K137" s="29">
        <f>+K138</f>
        <v>0</v>
      </c>
      <c r="L137" s="29">
        <f>+L138</f>
        <v>0</v>
      </c>
      <c r="M137" s="29">
        <f>+M138</f>
        <v>0</v>
      </c>
      <c r="N137" s="30">
        <f>SUM(O137:W137)</f>
        <v>0</v>
      </c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2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2">
        <f>Y137+N137</f>
        <v>0</v>
      </c>
      <c r="BG137" s="107"/>
    </row>
    <row r="138" spans="1:59" s="44" customFormat="1" ht="20.25" hidden="1" thickBot="1" x14ac:dyDescent="0.3">
      <c r="A138" s="27" t="str">
        <f t="shared" si="17"/>
        <v/>
      </c>
      <c r="B138" s="28" t="s">
        <v>178</v>
      </c>
      <c r="C138" s="28"/>
      <c r="D138" s="179" t="s">
        <v>29</v>
      </c>
      <c r="E138" s="179"/>
      <c r="F138" s="179"/>
      <c r="G138" s="181" t="s">
        <v>3</v>
      </c>
      <c r="H138" s="377"/>
      <c r="I138" s="120"/>
      <c r="J138" s="47">
        <f t="shared" si="15"/>
        <v>0</v>
      </c>
      <c r="K138" s="60">
        <f>SUM(K140)</f>
        <v>0</v>
      </c>
      <c r="L138" s="60">
        <f>SUM(L140)</f>
        <v>0</v>
      </c>
      <c r="M138" s="60">
        <f>SUM(M140)</f>
        <v>0</v>
      </c>
      <c r="N138" s="30">
        <f>SUM(O138:W138)</f>
        <v>0</v>
      </c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32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32">
        <f>Y138+N138</f>
        <v>0</v>
      </c>
      <c r="BG138" s="107"/>
    </row>
    <row r="139" spans="1:59" s="44" customFormat="1" ht="20.25" hidden="1" thickBot="1" x14ac:dyDescent="0.3">
      <c r="A139" s="27" t="str">
        <f t="shared" si="17"/>
        <v/>
      </c>
      <c r="B139" s="28" t="s">
        <v>178</v>
      </c>
      <c r="C139" s="28"/>
      <c r="D139" s="179" t="s">
        <v>28</v>
      </c>
      <c r="E139" s="179"/>
      <c r="F139" s="179"/>
      <c r="G139" s="181" t="s">
        <v>3</v>
      </c>
      <c r="H139" s="250"/>
      <c r="I139" s="121"/>
      <c r="J139" s="143">
        <f t="shared" si="15"/>
        <v>0</v>
      </c>
      <c r="K139" s="93">
        <f>+K140</f>
        <v>0</v>
      </c>
      <c r="L139" s="93">
        <f>+L140</f>
        <v>0</v>
      </c>
      <c r="M139" s="93">
        <f>+M140</f>
        <v>0</v>
      </c>
      <c r="N139" s="30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32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32"/>
      <c r="BG139" s="107"/>
    </row>
    <row r="140" spans="1:59" s="33" customFormat="1" ht="94.5" hidden="1" customHeight="1" thickBot="1" x14ac:dyDescent="0.3">
      <c r="A140" s="27" t="str">
        <f t="shared" si="17"/>
        <v/>
      </c>
      <c r="B140" s="28" t="s">
        <v>178</v>
      </c>
      <c r="C140" s="28"/>
      <c r="D140" s="212" t="s">
        <v>101</v>
      </c>
      <c r="E140" s="234" t="s">
        <v>102</v>
      </c>
      <c r="F140" s="211" t="s">
        <v>93</v>
      </c>
      <c r="G140" s="447" t="s">
        <v>103</v>
      </c>
      <c r="H140" s="254"/>
      <c r="I140" s="113"/>
      <c r="J140" s="43">
        <f t="shared" si="15"/>
        <v>0</v>
      </c>
      <c r="K140" s="43"/>
      <c r="L140" s="43"/>
      <c r="M140" s="43"/>
      <c r="N140" s="30">
        <f>SUM(O140:W140)</f>
        <v>0</v>
      </c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2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2">
        <f>Y140+N140</f>
        <v>0</v>
      </c>
      <c r="BG140" s="107"/>
    </row>
    <row r="141" spans="1:59" s="33" customFormat="1" ht="130.5" hidden="1" customHeight="1" x14ac:dyDescent="0.25">
      <c r="A141" s="27" t="str">
        <f t="shared" si="17"/>
        <v/>
      </c>
      <c r="B141" s="28"/>
      <c r="C141" s="28"/>
      <c r="D141" s="172"/>
      <c r="E141" s="171"/>
      <c r="F141" s="172"/>
      <c r="G141" s="173"/>
      <c r="H141" s="173" t="s">
        <v>26</v>
      </c>
      <c r="I141" s="118" t="s">
        <v>231</v>
      </c>
      <c r="J141" s="29">
        <f>+K141+L141</f>
        <v>0</v>
      </c>
      <c r="K141" s="29">
        <f>+K142</f>
        <v>0</v>
      </c>
      <c r="L141" s="45"/>
      <c r="M141" s="45"/>
      <c r="N141" s="30">
        <f>SUM(O141:W141)</f>
        <v>0</v>
      </c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2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2">
        <f>Y141+N141</f>
        <v>0</v>
      </c>
      <c r="BG141" s="107"/>
    </row>
    <row r="142" spans="1:59" s="44" customFormat="1" ht="20.25" hidden="1" thickBot="1" x14ac:dyDescent="0.3">
      <c r="A142" s="27" t="str">
        <f t="shared" si="17"/>
        <v/>
      </c>
      <c r="B142" s="28" t="s">
        <v>178</v>
      </c>
      <c r="C142" s="28"/>
      <c r="D142" s="179" t="s">
        <v>29</v>
      </c>
      <c r="E142" s="179"/>
      <c r="F142" s="179"/>
      <c r="G142" s="181" t="s">
        <v>3</v>
      </c>
      <c r="H142" s="377"/>
      <c r="I142" s="120"/>
      <c r="J142" s="47">
        <f>+K142+L142</f>
        <v>0</v>
      </c>
      <c r="K142" s="60">
        <f>SUM(K144)</f>
        <v>0</v>
      </c>
      <c r="L142" s="66"/>
      <c r="M142" s="66"/>
      <c r="N142" s="30">
        <f>SUM(O142:W142)</f>
        <v>0</v>
      </c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32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32">
        <f>Y142+N142</f>
        <v>0</v>
      </c>
      <c r="BG142" s="107"/>
    </row>
    <row r="143" spans="1:59" s="44" customFormat="1" ht="20.25" hidden="1" thickBot="1" x14ac:dyDescent="0.3">
      <c r="A143" s="27" t="str">
        <f t="shared" si="17"/>
        <v/>
      </c>
      <c r="B143" s="28" t="s">
        <v>178</v>
      </c>
      <c r="C143" s="28"/>
      <c r="D143" s="179" t="s">
        <v>28</v>
      </c>
      <c r="E143" s="179"/>
      <c r="F143" s="179"/>
      <c r="G143" s="181" t="s">
        <v>3</v>
      </c>
      <c r="H143" s="250"/>
      <c r="I143" s="121"/>
      <c r="J143" s="143">
        <f>+K143+L143</f>
        <v>0</v>
      </c>
      <c r="K143" s="93">
        <f>+K144</f>
        <v>0</v>
      </c>
      <c r="L143" s="94"/>
      <c r="M143" s="94"/>
      <c r="N143" s="30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32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32"/>
      <c r="BG143" s="107"/>
    </row>
    <row r="144" spans="1:59" s="33" customFormat="1" ht="57" hidden="1" thickBot="1" x14ac:dyDescent="0.3">
      <c r="A144" s="27" t="str">
        <f t="shared" si="17"/>
        <v/>
      </c>
      <c r="B144" s="28" t="s">
        <v>178</v>
      </c>
      <c r="C144" s="103"/>
      <c r="D144" s="212" t="s">
        <v>98</v>
      </c>
      <c r="E144" s="187">
        <v>9800</v>
      </c>
      <c r="F144" s="188" t="s">
        <v>156</v>
      </c>
      <c r="G144" s="189" t="s">
        <v>100</v>
      </c>
      <c r="H144" s="216"/>
      <c r="I144" s="111"/>
      <c r="J144" s="43">
        <f>+K144+L144</f>
        <v>0</v>
      </c>
      <c r="K144" s="43"/>
      <c r="L144" s="43"/>
      <c r="M144" s="43"/>
      <c r="N144" s="30">
        <f>SUM(O144:W144)</f>
        <v>0</v>
      </c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2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2">
        <f>Y144+N144</f>
        <v>0</v>
      </c>
      <c r="BG144" s="107"/>
    </row>
    <row r="145" spans="1:59" s="197" customFormat="1" ht="60" customHeight="1" x14ac:dyDescent="0.3">
      <c r="A145" s="156" t="str">
        <f t="shared" si="17"/>
        <v>п</v>
      </c>
      <c r="B145" s="157"/>
      <c r="C145" s="157"/>
      <c r="D145" s="172"/>
      <c r="E145" s="171"/>
      <c r="F145" s="172"/>
      <c r="G145" s="173"/>
      <c r="H145" s="173" t="s">
        <v>177</v>
      </c>
      <c r="I145" s="175" t="s">
        <v>300</v>
      </c>
      <c r="J145" s="177">
        <f t="shared" ref="J145:J177" si="27">+K145+L145</f>
        <v>3500000</v>
      </c>
      <c r="K145" s="177">
        <f>K149+K146</f>
        <v>3500000</v>
      </c>
      <c r="L145" s="177">
        <f>L149+L146</f>
        <v>0</v>
      </c>
      <c r="M145" s="177">
        <f>M149+M146</f>
        <v>0</v>
      </c>
      <c r="N145" s="386">
        <f>SUM(O145:W145)</f>
        <v>0</v>
      </c>
      <c r="O145" s="438"/>
      <c r="P145" s="438"/>
      <c r="Q145" s="438"/>
      <c r="R145" s="438"/>
      <c r="S145" s="438"/>
      <c r="T145" s="438"/>
      <c r="U145" s="438"/>
      <c r="V145" s="438"/>
      <c r="W145" s="438"/>
      <c r="X145" s="438"/>
      <c r="Y145" s="387"/>
      <c r="Z145" s="438"/>
      <c r="AA145" s="438"/>
      <c r="AB145" s="438"/>
      <c r="AC145" s="438"/>
      <c r="AD145" s="438"/>
      <c r="AE145" s="438"/>
      <c r="AF145" s="438"/>
      <c r="AG145" s="438"/>
      <c r="AH145" s="438"/>
      <c r="AI145" s="438"/>
      <c r="AJ145" s="438"/>
      <c r="AK145" s="387">
        <f>Y145+N145</f>
        <v>0</v>
      </c>
      <c r="BG145" s="198"/>
    </row>
    <row r="146" spans="1:59" s="197" customFormat="1" ht="51.75" customHeight="1" x14ac:dyDescent="0.3">
      <c r="A146" s="156" t="str">
        <f t="shared" si="17"/>
        <v>п</v>
      </c>
      <c r="B146" s="157" t="s">
        <v>178</v>
      </c>
      <c r="C146" s="157"/>
      <c r="D146" s="179" t="s">
        <v>29</v>
      </c>
      <c r="E146" s="180"/>
      <c r="F146" s="180"/>
      <c r="G146" s="181" t="s">
        <v>3</v>
      </c>
      <c r="H146" s="280"/>
      <c r="I146" s="282"/>
      <c r="J146" s="284">
        <f t="shared" si="27"/>
        <v>3500000</v>
      </c>
      <c r="K146" s="284">
        <f t="shared" ref="K146:M147" si="28">K147</f>
        <v>3500000</v>
      </c>
      <c r="L146" s="284">
        <f t="shared" si="28"/>
        <v>0</v>
      </c>
      <c r="M146" s="284">
        <f t="shared" si="28"/>
        <v>0</v>
      </c>
      <c r="N146" s="386"/>
      <c r="O146" s="438"/>
      <c r="P146" s="438"/>
      <c r="Q146" s="438"/>
      <c r="R146" s="438"/>
      <c r="S146" s="438"/>
      <c r="T146" s="438"/>
      <c r="U146" s="438"/>
      <c r="V146" s="438"/>
      <c r="W146" s="438"/>
      <c r="X146" s="438"/>
      <c r="Y146" s="387"/>
      <c r="Z146" s="438"/>
      <c r="AA146" s="438"/>
      <c r="AB146" s="438"/>
      <c r="AC146" s="438"/>
      <c r="AD146" s="438"/>
      <c r="AE146" s="438"/>
      <c r="AF146" s="438"/>
      <c r="AG146" s="438"/>
      <c r="AH146" s="438"/>
      <c r="AI146" s="438"/>
      <c r="AJ146" s="438"/>
      <c r="AK146" s="387"/>
      <c r="BG146" s="198"/>
    </row>
    <row r="147" spans="1:59" s="197" customFormat="1" ht="45.75" customHeight="1" x14ac:dyDescent="0.3">
      <c r="A147" s="156" t="str">
        <f t="shared" si="17"/>
        <v>п</v>
      </c>
      <c r="B147" s="157" t="s">
        <v>178</v>
      </c>
      <c r="C147" s="157"/>
      <c r="D147" s="179" t="s">
        <v>28</v>
      </c>
      <c r="E147" s="180"/>
      <c r="F147" s="180"/>
      <c r="G147" s="181" t="s">
        <v>3</v>
      </c>
      <c r="H147" s="280"/>
      <c r="I147" s="282"/>
      <c r="J147" s="284">
        <f t="shared" si="27"/>
        <v>3500000</v>
      </c>
      <c r="K147" s="284">
        <f t="shared" si="28"/>
        <v>3500000</v>
      </c>
      <c r="L147" s="284">
        <f t="shared" si="28"/>
        <v>0</v>
      </c>
      <c r="M147" s="284">
        <f t="shared" si="28"/>
        <v>0</v>
      </c>
      <c r="N147" s="386"/>
      <c r="O147" s="438"/>
      <c r="P147" s="438"/>
      <c r="Q147" s="438"/>
      <c r="R147" s="438"/>
      <c r="S147" s="438"/>
      <c r="T147" s="438"/>
      <c r="U147" s="438"/>
      <c r="V147" s="438"/>
      <c r="W147" s="438"/>
      <c r="X147" s="438"/>
      <c r="Y147" s="387"/>
      <c r="Z147" s="438"/>
      <c r="AA147" s="438"/>
      <c r="AB147" s="438"/>
      <c r="AC147" s="438"/>
      <c r="AD147" s="438"/>
      <c r="AE147" s="438"/>
      <c r="AF147" s="438"/>
      <c r="AG147" s="438"/>
      <c r="AH147" s="438"/>
      <c r="AI147" s="438"/>
      <c r="AJ147" s="438"/>
      <c r="AK147" s="387"/>
      <c r="BG147" s="198"/>
    </row>
    <row r="148" spans="1:59" s="197" customFormat="1" ht="42.75" customHeight="1" thickBot="1" x14ac:dyDescent="0.35">
      <c r="A148" s="156" t="str">
        <f t="shared" si="17"/>
        <v>п</v>
      </c>
      <c r="B148" s="157" t="s">
        <v>178</v>
      </c>
      <c r="C148" s="157"/>
      <c r="D148" s="212" t="s">
        <v>186</v>
      </c>
      <c r="E148" s="187" t="s">
        <v>187</v>
      </c>
      <c r="F148" s="188" t="s">
        <v>159</v>
      </c>
      <c r="G148" s="189" t="s">
        <v>86</v>
      </c>
      <c r="H148" s="280"/>
      <c r="I148" s="282"/>
      <c r="J148" s="268">
        <f t="shared" si="27"/>
        <v>3500000</v>
      </c>
      <c r="K148" s="268">
        <v>3500000</v>
      </c>
      <c r="L148" s="268"/>
      <c r="M148" s="284"/>
      <c r="N148" s="386"/>
      <c r="O148" s="438"/>
      <c r="P148" s="438"/>
      <c r="Q148" s="438"/>
      <c r="R148" s="438"/>
      <c r="S148" s="438"/>
      <c r="T148" s="438"/>
      <c r="U148" s="438"/>
      <c r="V148" s="438"/>
      <c r="W148" s="438"/>
      <c r="X148" s="438"/>
      <c r="Y148" s="387"/>
      <c r="Z148" s="438"/>
      <c r="AA148" s="438"/>
      <c r="AB148" s="438"/>
      <c r="AC148" s="438"/>
      <c r="AD148" s="438"/>
      <c r="AE148" s="438"/>
      <c r="AF148" s="438"/>
      <c r="AG148" s="438"/>
      <c r="AH148" s="438"/>
      <c r="AI148" s="438"/>
      <c r="AJ148" s="438"/>
      <c r="AK148" s="387"/>
      <c r="BG148" s="198"/>
    </row>
    <row r="149" spans="1:59" s="44" customFormat="1" ht="59.25" hidden="1" thickBot="1" x14ac:dyDescent="0.3">
      <c r="A149" s="27" t="str">
        <f t="shared" si="17"/>
        <v/>
      </c>
      <c r="B149" s="28" t="s">
        <v>181</v>
      </c>
      <c r="C149" s="28"/>
      <c r="D149" s="225" t="s">
        <v>62</v>
      </c>
      <c r="E149" s="200"/>
      <c r="F149" s="200"/>
      <c r="G149" s="201" t="s">
        <v>9</v>
      </c>
      <c r="H149" s="377"/>
      <c r="I149" s="120"/>
      <c r="J149" s="47">
        <f t="shared" si="27"/>
        <v>0</v>
      </c>
      <c r="K149" s="60">
        <f>+K150</f>
        <v>0</v>
      </c>
      <c r="L149" s="66">
        <f>L150</f>
        <v>0</v>
      </c>
      <c r="M149" s="66">
        <f>+M150</f>
        <v>0</v>
      </c>
      <c r="N149" s="30">
        <f>N150</f>
        <v>0</v>
      </c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32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32">
        <f>Y149+N149</f>
        <v>0</v>
      </c>
      <c r="BG149" s="107"/>
    </row>
    <row r="150" spans="1:59" s="44" customFormat="1" ht="59.25" hidden="1" thickBot="1" x14ac:dyDescent="0.3">
      <c r="A150" s="27" t="str">
        <f t="shared" si="17"/>
        <v/>
      </c>
      <c r="B150" s="28" t="s">
        <v>181</v>
      </c>
      <c r="C150" s="28"/>
      <c r="D150" s="225" t="s">
        <v>63</v>
      </c>
      <c r="E150" s="200"/>
      <c r="F150" s="200"/>
      <c r="G150" s="201" t="s">
        <v>9</v>
      </c>
      <c r="H150" s="250"/>
      <c r="I150" s="121"/>
      <c r="J150" s="143">
        <f>+J151+J154+J152</f>
        <v>0</v>
      </c>
      <c r="K150" s="93">
        <f>SUM(K151:K154)</f>
        <v>0</v>
      </c>
      <c r="L150" s="93">
        <f>SUM(L151:L154)</f>
        <v>0</v>
      </c>
      <c r="M150" s="93">
        <f>SUM(M151:M154)</f>
        <v>0</v>
      </c>
      <c r="N150" s="30">
        <f>N151</f>
        <v>0</v>
      </c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32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32"/>
      <c r="BG150" s="107"/>
    </row>
    <row r="151" spans="1:59" s="33" customFormat="1" ht="26.25" hidden="1" customHeight="1" x14ac:dyDescent="0.25">
      <c r="A151" s="27" t="str">
        <f t="shared" si="17"/>
        <v/>
      </c>
      <c r="B151" s="28" t="s">
        <v>181</v>
      </c>
      <c r="C151" s="28"/>
      <c r="D151" s="372">
        <v>1217321</v>
      </c>
      <c r="E151" s="234">
        <v>7321</v>
      </c>
      <c r="F151" s="211" t="s">
        <v>154</v>
      </c>
      <c r="G151" s="447" t="s">
        <v>185</v>
      </c>
      <c r="H151" s="234"/>
      <c r="I151" s="112"/>
      <c r="J151" s="41">
        <f t="shared" si="27"/>
        <v>0</v>
      </c>
      <c r="K151" s="41"/>
      <c r="L151" s="41"/>
      <c r="M151" s="41"/>
      <c r="N151" s="30">
        <f>SUM(O151:W151)</f>
        <v>0</v>
      </c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2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2">
        <f>Y151+N151</f>
        <v>0</v>
      </c>
      <c r="BG151" s="107"/>
    </row>
    <row r="152" spans="1:59" s="33" customFormat="1" ht="39.75" hidden="1" customHeight="1" x14ac:dyDescent="0.25">
      <c r="A152" s="27" t="str">
        <f>IF(J152=0,"","п")</f>
        <v/>
      </c>
      <c r="B152" s="28" t="s">
        <v>181</v>
      </c>
      <c r="C152" s="28"/>
      <c r="D152" s="212">
        <v>1216011</v>
      </c>
      <c r="E152" s="216" t="s">
        <v>204</v>
      </c>
      <c r="F152" s="188" t="s">
        <v>131</v>
      </c>
      <c r="G152" s="189" t="s">
        <v>205</v>
      </c>
      <c r="H152" s="234"/>
      <c r="I152" s="112"/>
      <c r="J152" s="41">
        <f t="shared" si="27"/>
        <v>0</v>
      </c>
      <c r="K152" s="41"/>
      <c r="L152" s="41"/>
      <c r="M152" s="41"/>
      <c r="N152" s="30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2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2"/>
      <c r="BG152" s="107"/>
    </row>
    <row r="153" spans="1:59" s="33" customFormat="1" ht="38.25" hidden="1" thickBot="1" x14ac:dyDescent="0.3">
      <c r="A153" s="27" t="str">
        <f>IF(J153=0,"","п")</f>
        <v/>
      </c>
      <c r="B153" s="28" t="s">
        <v>181</v>
      </c>
      <c r="C153" s="28"/>
      <c r="D153" s="212">
        <v>1217310</v>
      </c>
      <c r="E153" s="216">
        <v>7310</v>
      </c>
      <c r="F153" s="188" t="s">
        <v>154</v>
      </c>
      <c r="G153" s="215" t="s">
        <v>84</v>
      </c>
      <c r="H153" s="216"/>
      <c r="I153" s="111"/>
      <c r="J153" s="37">
        <f>+K153+L153</f>
        <v>0</v>
      </c>
      <c r="K153" s="37"/>
      <c r="L153" s="37"/>
      <c r="M153" s="37"/>
      <c r="N153" s="30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2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2"/>
      <c r="BG153" s="107"/>
    </row>
    <row r="154" spans="1:59" s="33" customFormat="1" ht="19.5" hidden="1" thickBot="1" x14ac:dyDescent="0.3">
      <c r="A154" s="27" t="str">
        <f t="shared" si="17"/>
        <v/>
      </c>
      <c r="B154" s="28" t="s">
        <v>181</v>
      </c>
      <c r="C154" s="28"/>
      <c r="D154" s="279" t="s">
        <v>139</v>
      </c>
      <c r="E154" s="275" t="s">
        <v>140</v>
      </c>
      <c r="F154" s="279" t="s">
        <v>154</v>
      </c>
      <c r="G154" s="287" t="s">
        <v>141</v>
      </c>
      <c r="H154" s="265"/>
      <c r="I154" s="123"/>
      <c r="J154" s="136">
        <f>+K154+L154</f>
        <v>0</v>
      </c>
      <c r="K154" s="49"/>
      <c r="L154" s="151"/>
      <c r="M154" s="151"/>
      <c r="N154" s="30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2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2"/>
      <c r="BG154" s="107"/>
    </row>
    <row r="155" spans="1:59" s="197" customFormat="1" ht="61.5" customHeight="1" x14ac:dyDescent="0.3">
      <c r="A155" s="156" t="str">
        <f t="shared" si="17"/>
        <v>п</v>
      </c>
      <c r="B155" s="157"/>
      <c r="C155" s="28"/>
      <c r="D155" s="172"/>
      <c r="E155" s="171"/>
      <c r="F155" s="172"/>
      <c r="G155" s="173"/>
      <c r="H155" s="174" t="s">
        <v>271</v>
      </c>
      <c r="I155" s="175" t="s">
        <v>272</v>
      </c>
      <c r="J155" s="176">
        <f t="shared" si="27"/>
        <v>33274038.23</v>
      </c>
      <c r="K155" s="177">
        <f>+K156+K178+K181</f>
        <v>29058427</v>
      </c>
      <c r="L155" s="178">
        <f>+L156+L178+L181</f>
        <v>4215611.2300000004</v>
      </c>
      <c r="M155" s="178">
        <f>+M156+M178+M181</f>
        <v>4095611.2300000004</v>
      </c>
      <c r="N155" s="30">
        <f>SUM(O155:W155)</f>
        <v>0</v>
      </c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2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2">
        <f>Y155+N155</f>
        <v>0</v>
      </c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198"/>
    </row>
    <row r="156" spans="1:59" s="199" customFormat="1" ht="58.5" x14ac:dyDescent="0.3">
      <c r="A156" s="156" t="str">
        <f t="shared" si="17"/>
        <v>п</v>
      </c>
      <c r="B156" s="157" t="s">
        <v>181</v>
      </c>
      <c r="C156" s="28"/>
      <c r="D156" s="225" t="s">
        <v>62</v>
      </c>
      <c r="E156" s="200"/>
      <c r="F156" s="200"/>
      <c r="G156" s="201" t="s">
        <v>9</v>
      </c>
      <c r="H156" s="202"/>
      <c r="I156" s="203"/>
      <c r="J156" s="204">
        <f t="shared" si="27"/>
        <v>33274038.23</v>
      </c>
      <c r="K156" s="205">
        <f>+K157</f>
        <v>29058427</v>
      </c>
      <c r="L156" s="205">
        <f>+L157</f>
        <v>4215611.2300000004</v>
      </c>
      <c r="M156" s="205">
        <f>+M157</f>
        <v>4095611.2300000004</v>
      </c>
      <c r="N156" s="30">
        <f>SUM(O156:W156)</f>
        <v>0</v>
      </c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32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32">
        <f>Y156+N156</f>
        <v>0</v>
      </c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198"/>
    </row>
    <row r="157" spans="1:59" s="199" customFormat="1" ht="58.5" x14ac:dyDescent="0.3">
      <c r="A157" s="156" t="str">
        <f t="shared" si="17"/>
        <v>п</v>
      </c>
      <c r="B157" s="157" t="s">
        <v>181</v>
      </c>
      <c r="C157" s="28"/>
      <c r="D157" s="225" t="s">
        <v>63</v>
      </c>
      <c r="E157" s="200"/>
      <c r="F157" s="200"/>
      <c r="G157" s="201" t="s">
        <v>9</v>
      </c>
      <c r="H157" s="202"/>
      <c r="I157" s="203"/>
      <c r="J157" s="204">
        <f t="shared" si="27"/>
        <v>33274038.23</v>
      </c>
      <c r="K157" s="205">
        <f>SUM(K158:K177)-K159-K163-K174</f>
        <v>29058427</v>
      </c>
      <c r="L157" s="205">
        <f>SUM(L158:L177)-L159-L163-L174</f>
        <v>4215611.2300000004</v>
      </c>
      <c r="M157" s="205">
        <f>SUM(M158:M177)-M159-M163-M174</f>
        <v>4095611.2300000004</v>
      </c>
      <c r="N157" s="30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32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32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198"/>
    </row>
    <row r="158" spans="1:59" s="197" customFormat="1" ht="41.25" customHeight="1" x14ac:dyDescent="0.3">
      <c r="A158" s="156" t="str">
        <f t="shared" si="17"/>
        <v>п</v>
      </c>
      <c r="B158" s="157" t="s">
        <v>181</v>
      </c>
      <c r="C158" s="102"/>
      <c r="D158" s="212" t="s">
        <v>134</v>
      </c>
      <c r="E158" s="187" t="s">
        <v>187</v>
      </c>
      <c r="F158" s="188" t="s">
        <v>159</v>
      </c>
      <c r="G158" s="189" t="s">
        <v>86</v>
      </c>
      <c r="H158" s="265"/>
      <c r="I158" s="266"/>
      <c r="J158" s="267">
        <f t="shared" si="27"/>
        <v>32984</v>
      </c>
      <c r="K158" s="268">
        <v>32984</v>
      </c>
      <c r="L158" s="268"/>
      <c r="M158" s="268"/>
      <c r="N158" s="67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9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9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198"/>
    </row>
    <row r="159" spans="1:59" s="87" customFormat="1" ht="18.75" hidden="1" x14ac:dyDescent="0.3">
      <c r="A159" s="27" t="str">
        <f t="shared" si="17"/>
        <v/>
      </c>
      <c r="B159" s="28" t="s">
        <v>181</v>
      </c>
      <c r="C159" s="104"/>
      <c r="D159" s="465"/>
      <c r="E159" s="366"/>
      <c r="F159" s="289"/>
      <c r="G159" s="219" t="s">
        <v>22</v>
      </c>
      <c r="H159" s="374"/>
      <c r="I159" s="122"/>
      <c r="J159" s="135">
        <f t="shared" si="27"/>
        <v>0</v>
      </c>
      <c r="K159" s="83"/>
      <c r="L159" s="82"/>
      <c r="M159" s="49"/>
      <c r="N159" s="84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6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6"/>
      <c r="BG159" s="107"/>
    </row>
    <row r="160" spans="1:59" s="33" customFormat="1" ht="37.5" hidden="1" x14ac:dyDescent="0.25">
      <c r="A160" s="27" t="str">
        <f t="shared" si="17"/>
        <v/>
      </c>
      <c r="B160" s="28" t="s">
        <v>181</v>
      </c>
      <c r="C160" s="103"/>
      <c r="D160" s="369" t="s">
        <v>203</v>
      </c>
      <c r="E160" s="279" t="s">
        <v>204</v>
      </c>
      <c r="F160" s="279" t="s">
        <v>131</v>
      </c>
      <c r="G160" s="394" t="s">
        <v>205</v>
      </c>
      <c r="H160" s="265"/>
      <c r="I160" s="123"/>
      <c r="J160" s="136">
        <f t="shared" si="27"/>
        <v>0</v>
      </c>
      <c r="K160" s="49"/>
      <c r="L160" s="146"/>
      <c r="M160" s="146"/>
      <c r="N160" s="30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2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2"/>
      <c r="BG160" s="107"/>
    </row>
    <row r="161" spans="1:59" s="33" customFormat="1" ht="37.5" hidden="1" x14ac:dyDescent="0.25">
      <c r="A161" s="27" t="str">
        <f>IF(J161=0,"","п")</f>
        <v/>
      </c>
      <c r="B161" s="28" t="s">
        <v>181</v>
      </c>
      <c r="C161" s="103"/>
      <c r="D161" s="369" t="s">
        <v>136</v>
      </c>
      <c r="E161" s="279" t="s">
        <v>137</v>
      </c>
      <c r="F161" s="279" t="s">
        <v>151</v>
      </c>
      <c r="G161" s="394" t="s">
        <v>138</v>
      </c>
      <c r="H161" s="265"/>
      <c r="I161" s="123"/>
      <c r="J161" s="136">
        <f>+K161+L161</f>
        <v>0</v>
      </c>
      <c r="K161" s="49"/>
      <c r="L161" s="49"/>
      <c r="M161" s="49"/>
      <c r="N161" s="30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2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2"/>
      <c r="BG161" s="107"/>
    </row>
    <row r="162" spans="1:59" s="33" customFormat="1" ht="41.25" customHeight="1" x14ac:dyDescent="0.25">
      <c r="A162" s="27" t="str">
        <f t="shared" si="17"/>
        <v>п</v>
      </c>
      <c r="B162" s="28" t="s">
        <v>181</v>
      </c>
      <c r="C162" s="102"/>
      <c r="D162" s="369" t="s">
        <v>64</v>
      </c>
      <c r="E162" s="279" t="s">
        <v>65</v>
      </c>
      <c r="F162" s="279" t="s">
        <v>151</v>
      </c>
      <c r="G162" s="394" t="s">
        <v>66</v>
      </c>
      <c r="H162" s="265"/>
      <c r="I162" s="266"/>
      <c r="J162" s="267">
        <f t="shared" si="27"/>
        <v>900000</v>
      </c>
      <c r="K162" s="268">
        <f>833000+67000</f>
        <v>900000</v>
      </c>
      <c r="L162" s="268"/>
      <c r="M162" s="268"/>
      <c r="N162" s="67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9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9"/>
      <c r="BG162" s="107"/>
    </row>
    <row r="163" spans="1:59" s="87" customFormat="1" ht="18.75" hidden="1" x14ac:dyDescent="0.3">
      <c r="A163" s="27" t="str">
        <f t="shared" si="17"/>
        <v/>
      </c>
      <c r="B163" s="28" t="s">
        <v>181</v>
      </c>
      <c r="C163" s="104"/>
      <c r="D163" s="465"/>
      <c r="E163" s="366"/>
      <c r="F163" s="289"/>
      <c r="G163" s="219" t="s">
        <v>22</v>
      </c>
      <c r="H163" s="288"/>
      <c r="I163" s="122"/>
      <c r="J163" s="83">
        <f t="shared" si="27"/>
        <v>0</v>
      </c>
      <c r="K163" s="83"/>
      <c r="L163" s="82"/>
      <c r="M163" s="82"/>
      <c r="N163" s="84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6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6"/>
      <c r="BG163" s="107"/>
    </row>
    <row r="164" spans="1:59" s="33" customFormat="1" ht="18.75" hidden="1" x14ac:dyDescent="0.25">
      <c r="A164" s="27" t="str">
        <f t="shared" si="17"/>
        <v/>
      </c>
      <c r="B164" s="28" t="s">
        <v>181</v>
      </c>
      <c r="C164" s="103"/>
      <c r="D164" s="369"/>
      <c r="E164" s="370"/>
      <c r="F164" s="279"/>
      <c r="G164" s="394"/>
      <c r="H164" s="275"/>
      <c r="I164" s="123"/>
      <c r="J164" s="49">
        <f t="shared" si="27"/>
        <v>0</v>
      </c>
      <c r="K164" s="49">
        <f>+K165+K166</f>
        <v>0</v>
      </c>
      <c r="L164" s="48">
        <f>+L165+L166</f>
        <v>0</v>
      </c>
      <c r="M164" s="48"/>
      <c r="N164" s="30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2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2"/>
      <c r="BG164" s="107"/>
    </row>
    <row r="165" spans="1:59" s="33" customFormat="1" ht="21.75" hidden="1" customHeight="1" x14ac:dyDescent="0.25">
      <c r="A165" s="27" t="str">
        <f t="shared" si="17"/>
        <v/>
      </c>
      <c r="B165" s="28" t="s">
        <v>181</v>
      </c>
      <c r="C165" s="28"/>
      <c r="D165" s="188"/>
      <c r="E165" s="216"/>
      <c r="F165" s="188"/>
      <c r="G165" s="189"/>
      <c r="H165" s="216"/>
      <c r="I165" s="111"/>
      <c r="J165" s="37">
        <f t="shared" si="27"/>
        <v>0</v>
      </c>
      <c r="K165" s="37"/>
      <c r="L165" s="37"/>
      <c r="M165" s="37"/>
      <c r="N165" s="30">
        <f>SUM(O165:W165)</f>
        <v>0</v>
      </c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2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2">
        <f>Y165+N165</f>
        <v>0</v>
      </c>
      <c r="BG165" s="107"/>
    </row>
    <row r="166" spans="1:59" s="33" customFormat="1" ht="35.25" hidden="1" customHeight="1" x14ac:dyDescent="0.25">
      <c r="A166" s="27" t="str">
        <f t="shared" si="17"/>
        <v/>
      </c>
      <c r="B166" s="28" t="s">
        <v>181</v>
      </c>
      <c r="C166" s="28"/>
      <c r="D166" s="188"/>
      <c r="E166" s="216"/>
      <c r="F166" s="188"/>
      <c r="G166" s="189"/>
      <c r="H166" s="216"/>
      <c r="I166" s="111"/>
      <c r="J166" s="37">
        <f t="shared" si="27"/>
        <v>0</v>
      </c>
      <c r="K166" s="37"/>
      <c r="L166" s="37"/>
      <c r="M166" s="37"/>
      <c r="N166" s="30">
        <f>SUM(O166:W166)</f>
        <v>0</v>
      </c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2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2">
        <f>Y166+N166</f>
        <v>0</v>
      </c>
      <c r="BG166" s="107"/>
    </row>
    <row r="167" spans="1:59" s="87" customFormat="1" ht="18.75" hidden="1" x14ac:dyDescent="0.3">
      <c r="A167" s="27" t="str">
        <f t="shared" si="17"/>
        <v/>
      </c>
      <c r="B167" s="28" t="s">
        <v>181</v>
      </c>
      <c r="C167" s="104"/>
      <c r="D167" s="465"/>
      <c r="E167" s="366"/>
      <c r="F167" s="289"/>
      <c r="G167" s="219"/>
      <c r="H167" s="288"/>
      <c r="I167" s="122"/>
      <c r="J167" s="83">
        <f t="shared" si="27"/>
        <v>0</v>
      </c>
      <c r="K167" s="83"/>
      <c r="L167" s="82">
        <f>5000+10000-15000</f>
        <v>0</v>
      </c>
      <c r="M167" s="82"/>
      <c r="N167" s="84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6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6"/>
      <c r="BG167" s="107"/>
    </row>
    <row r="168" spans="1:59" s="33" customFormat="1" ht="35.25" hidden="1" customHeight="1" x14ac:dyDescent="0.25">
      <c r="A168" s="27" t="str">
        <f t="shared" si="17"/>
        <v/>
      </c>
      <c r="B168" s="28" t="s">
        <v>181</v>
      </c>
      <c r="C168" s="28"/>
      <c r="D168" s="188"/>
      <c r="E168" s="216"/>
      <c r="F168" s="188"/>
      <c r="G168" s="189"/>
      <c r="H168" s="216"/>
      <c r="I168" s="111"/>
      <c r="J168" s="37">
        <f t="shared" si="27"/>
        <v>0</v>
      </c>
      <c r="K168" s="37">
        <f>+K169+K170</f>
        <v>0</v>
      </c>
      <c r="L168" s="35">
        <f>+L169+L170</f>
        <v>0</v>
      </c>
      <c r="M168" s="35"/>
      <c r="N168" s="30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2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2"/>
      <c r="BG168" s="107"/>
    </row>
    <row r="169" spans="1:59" s="33" customFormat="1" ht="18.75" hidden="1" customHeight="1" x14ac:dyDescent="0.25">
      <c r="A169" s="27" t="str">
        <f t="shared" si="17"/>
        <v/>
      </c>
      <c r="B169" s="28" t="s">
        <v>181</v>
      </c>
      <c r="C169" s="28"/>
      <c r="D169" s="188"/>
      <c r="E169" s="216"/>
      <c r="F169" s="188"/>
      <c r="G169" s="189"/>
      <c r="H169" s="216"/>
      <c r="I169" s="111"/>
      <c r="J169" s="37">
        <f t="shared" si="27"/>
        <v>0</v>
      </c>
      <c r="K169" s="37"/>
      <c r="L169" s="37"/>
      <c r="M169" s="37"/>
      <c r="N169" s="30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2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2"/>
      <c r="BG169" s="107"/>
    </row>
    <row r="170" spans="1:59" s="33" customFormat="1" ht="36" hidden="1" customHeight="1" x14ac:dyDescent="0.25">
      <c r="A170" s="27" t="str">
        <f t="shared" si="17"/>
        <v/>
      </c>
      <c r="B170" s="28" t="s">
        <v>181</v>
      </c>
      <c r="C170" s="28"/>
      <c r="D170" s="188"/>
      <c r="E170" s="216"/>
      <c r="F170" s="188"/>
      <c r="G170" s="189"/>
      <c r="H170" s="216"/>
      <c r="I170" s="111"/>
      <c r="J170" s="37">
        <f t="shared" si="27"/>
        <v>0</v>
      </c>
      <c r="K170" s="37"/>
      <c r="L170" s="37"/>
      <c r="M170" s="37"/>
      <c r="N170" s="30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2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2"/>
      <c r="BG170" s="107"/>
    </row>
    <row r="171" spans="1:59" s="33" customFormat="1" ht="21.95" hidden="1" customHeight="1" x14ac:dyDescent="0.25">
      <c r="A171" s="27" t="str">
        <f t="shared" si="17"/>
        <v/>
      </c>
      <c r="B171" s="28" t="s">
        <v>181</v>
      </c>
      <c r="C171" s="28"/>
      <c r="D171" s="188"/>
      <c r="E171" s="216"/>
      <c r="F171" s="188"/>
      <c r="G171" s="189"/>
      <c r="H171" s="216"/>
      <c r="I171" s="111"/>
      <c r="J171" s="37">
        <f t="shared" si="27"/>
        <v>0</v>
      </c>
      <c r="K171" s="37"/>
      <c r="L171" s="37"/>
      <c r="M171" s="37"/>
      <c r="N171" s="30">
        <f>SUM(O171:W171)</f>
        <v>0</v>
      </c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2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2">
        <f>Y171+N171</f>
        <v>0</v>
      </c>
      <c r="BG171" s="107"/>
    </row>
    <row r="172" spans="1:59" s="33" customFormat="1" ht="56.25" hidden="1" x14ac:dyDescent="0.25">
      <c r="A172" s="27" t="str">
        <f t="shared" si="17"/>
        <v/>
      </c>
      <c r="B172" s="28" t="s">
        <v>181</v>
      </c>
      <c r="C172" s="28"/>
      <c r="D172" s="188" t="s">
        <v>67</v>
      </c>
      <c r="E172" s="456" t="s">
        <v>68</v>
      </c>
      <c r="F172" s="391" t="s">
        <v>151</v>
      </c>
      <c r="G172" s="189" t="s">
        <v>69</v>
      </c>
      <c r="H172" s="190"/>
      <c r="I172" s="111"/>
      <c r="J172" s="129">
        <f t="shared" si="27"/>
        <v>0</v>
      </c>
      <c r="K172" s="37">
        <f>30740-30740</f>
        <v>0</v>
      </c>
      <c r="L172" s="37"/>
      <c r="M172" s="37"/>
      <c r="N172" s="30">
        <f>SUM(O172:W172)</f>
        <v>0</v>
      </c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2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2">
        <f>Y172+N172</f>
        <v>0</v>
      </c>
      <c r="BG172" s="107"/>
    </row>
    <row r="173" spans="1:59" s="197" customFormat="1" ht="27.75" customHeight="1" x14ac:dyDescent="0.3">
      <c r="A173" s="156" t="str">
        <f t="shared" si="17"/>
        <v>п</v>
      </c>
      <c r="B173" s="157" t="s">
        <v>181</v>
      </c>
      <c r="C173" s="28"/>
      <c r="D173" s="188" t="s">
        <v>70</v>
      </c>
      <c r="E173" s="216" t="s">
        <v>71</v>
      </c>
      <c r="F173" s="188" t="s">
        <v>151</v>
      </c>
      <c r="G173" s="189" t="s">
        <v>72</v>
      </c>
      <c r="H173" s="190"/>
      <c r="I173" s="191"/>
      <c r="J173" s="192">
        <f t="shared" si="27"/>
        <v>29175443</v>
      </c>
      <c r="K173" s="193">
        <f>23991835+1650000+300000+49990+18468+2115150</f>
        <v>28125443</v>
      </c>
      <c r="L173" s="193">
        <f>580000+470000</f>
        <v>1050000</v>
      </c>
      <c r="M173" s="193">
        <f>580000+470000</f>
        <v>1050000</v>
      </c>
      <c r="N173" s="30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2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2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198"/>
    </row>
    <row r="174" spans="1:59" s="235" customFormat="1" ht="27.75" hidden="1" customHeight="1" x14ac:dyDescent="0.3">
      <c r="A174" s="458" t="str">
        <f t="shared" ref="A174" si="29">IF(J174=0,"","п")</f>
        <v/>
      </c>
      <c r="B174" s="459" t="s">
        <v>181</v>
      </c>
      <c r="C174" s="460"/>
      <c r="D174" s="218"/>
      <c r="E174" s="220"/>
      <c r="F174" s="218"/>
      <c r="G174" s="219" t="s">
        <v>22</v>
      </c>
      <c r="H174" s="286"/>
      <c r="I174" s="221"/>
      <c r="J174" s="222"/>
      <c r="K174" s="223"/>
      <c r="L174" s="293">
        <v>1050000</v>
      </c>
      <c r="M174" s="293">
        <v>1050000</v>
      </c>
      <c r="N174" s="106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88"/>
      <c r="AI174" s="88"/>
      <c r="AJ174" s="88"/>
      <c r="AK174" s="88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461"/>
    </row>
    <row r="175" spans="1:59" s="197" customFormat="1" ht="37.5" x14ac:dyDescent="0.3">
      <c r="A175" s="156" t="str">
        <f t="shared" si="17"/>
        <v>п</v>
      </c>
      <c r="B175" s="157" t="s">
        <v>181</v>
      </c>
      <c r="C175" s="28"/>
      <c r="D175" s="188" t="s">
        <v>82</v>
      </c>
      <c r="E175" s="216" t="s">
        <v>83</v>
      </c>
      <c r="F175" s="188" t="s">
        <v>154</v>
      </c>
      <c r="G175" s="189" t="s">
        <v>84</v>
      </c>
      <c r="H175" s="190"/>
      <c r="I175" s="191"/>
      <c r="J175" s="192">
        <f t="shared" si="27"/>
        <v>3045611.23</v>
      </c>
      <c r="K175" s="193"/>
      <c r="L175" s="268">
        <f>3250000-833000+250000+456136.25-578334.02-417000+827745.47+90063.53</f>
        <v>3045611.23</v>
      </c>
      <c r="M175" s="268">
        <f>3250000-833000+250000+456136.25-578334.02-417000+827745.47+90063.53</f>
        <v>3045611.23</v>
      </c>
      <c r="N175" s="30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2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2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198"/>
    </row>
    <row r="176" spans="1:59" s="33" customFormat="1" ht="62.25" hidden="1" customHeight="1" x14ac:dyDescent="0.25">
      <c r="A176" s="27" t="str">
        <f t="shared" si="17"/>
        <v/>
      </c>
      <c r="B176" s="28" t="s">
        <v>181</v>
      </c>
      <c r="C176" s="28"/>
      <c r="D176" s="188" t="s">
        <v>199</v>
      </c>
      <c r="E176" s="216">
        <v>7461</v>
      </c>
      <c r="F176" s="188" t="s">
        <v>155</v>
      </c>
      <c r="G176" s="189" t="s">
        <v>200</v>
      </c>
      <c r="H176" s="216"/>
      <c r="I176" s="111"/>
      <c r="J176" s="37">
        <f t="shared" si="27"/>
        <v>0</v>
      </c>
      <c r="K176" s="37"/>
      <c r="L176" s="37">
        <f>50000-50000</f>
        <v>0</v>
      </c>
      <c r="M176" s="37"/>
      <c r="N176" s="30">
        <f>SUM(O176:W176)</f>
        <v>0</v>
      </c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2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2">
        <f>Y176+N176</f>
        <v>0</v>
      </c>
      <c r="AL176" s="33" t="s">
        <v>11</v>
      </c>
      <c r="BG176" s="107"/>
    </row>
    <row r="177" spans="1:59" s="197" customFormat="1" ht="19.5" thickBot="1" x14ac:dyDescent="0.35">
      <c r="A177" s="156" t="str">
        <f t="shared" si="17"/>
        <v>п</v>
      </c>
      <c r="B177" s="157" t="s">
        <v>181</v>
      </c>
      <c r="C177" s="28"/>
      <c r="D177" s="188">
        <v>1218340</v>
      </c>
      <c r="E177" s="216">
        <v>8340</v>
      </c>
      <c r="F177" s="188" t="s">
        <v>202</v>
      </c>
      <c r="G177" s="189" t="s">
        <v>201</v>
      </c>
      <c r="H177" s="190"/>
      <c r="I177" s="191"/>
      <c r="J177" s="192">
        <f t="shared" si="27"/>
        <v>120000</v>
      </c>
      <c r="K177" s="193"/>
      <c r="L177" s="193">
        <v>120000</v>
      </c>
      <c r="M177" s="193"/>
      <c r="N177" s="30">
        <f>SUM(O177:W177)</f>
        <v>0</v>
      </c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2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2">
        <f>Y177+N177</f>
        <v>0</v>
      </c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198"/>
    </row>
    <row r="178" spans="1:59" s="33" customFormat="1" ht="20.25" hidden="1" thickBot="1" x14ac:dyDescent="0.3">
      <c r="A178" s="27" t="str">
        <f t="shared" si="17"/>
        <v/>
      </c>
      <c r="B178" s="28" t="s">
        <v>178</v>
      </c>
      <c r="C178" s="28"/>
      <c r="D178" s="225" t="s">
        <v>29</v>
      </c>
      <c r="E178" s="225"/>
      <c r="F178" s="225"/>
      <c r="G178" s="201" t="s">
        <v>3</v>
      </c>
      <c r="H178" s="265"/>
      <c r="I178" s="123"/>
      <c r="J178" s="131">
        <f t="shared" ref="J178:J238" si="30">+K178+L178</f>
        <v>0</v>
      </c>
      <c r="K178" s="60">
        <f>SUM(K180)</f>
        <v>0</v>
      </c>
      <c r="L178" s="64">
        <f>SUM(L180)</f>
        <v>0</v>
      </c>
      <c r="M178" s="64"/>
      <c r="N178" s="30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2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2"/>
      <c r="BG178" s="107"/>
    </row>
    <row r="179" spans="1:59" s="33" customFormat="1" ht="20.25" hidden="1" thickBot="1" x14ac:dyDescent="0.3">
      <c r="A179" s="27" t="str">
        <f t="shared" ref="A179:A244" si="31">IF(J179=0,"","п")</f>
        <v/>
      </c>
      <c r="B179" s="28" t="s">
        <v>178</v>
      </c>
      <c r="C179" s="28"/>
      <c r="D179" s="179" t="s">
        <v>28</v>
      </c>
      <c r="E179" s="179"/>
      <c r="F179" s="179"/>
      <c r="G179" s="181" t="s">
        <v>3</v>
      </c>
      <c r="H179" s="378"/>
      <c r="I179" s="141"/>
      <c r="J179" s="138">
        <f t="shared" si="30"/>
        <v>0</v>
      </c>
      <c r="K179" s="93">
        <f>+K180</f>
        <v>0</v>
      </c>
      <c r="L179" s="92">
        <f>+L180</f>
        <v>0</v>
      </c>
      <c r="M179" s="92"/>
      <c r="N179" s="30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2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2"/>
      <c r="BG179" s="107"/>
    </row>
    <row r="180" spans="1:59" s="33" customFormat="1" ht="45.75" hidden="1" customHeight="1" x14ac:dyDescent="0.25">
      <c r="A180" s="27" t="str">
        <f t="shared" si="31"/>
        <v/>
      </c>
      <c r="B180" s="28" t="s">
        <v>178</v>
      </c>
      <c r="C180" s="28"/>
      <c r="D180" s="212" t="s">
        <v>73</v>
      </c>
      <c r="E180" s="216" t="s">
        <v>74</v>
      </c>
      <c r="F180" s="188" t="s">
        <v>153</v>
      </c>
      <c r="G180" s="189" t="s">
        <v>75</v>
      </c>
      <c r="H180" s="190"/>
      <c r="I180" s="111"/>
      <c r="J180" s="129">
        <f t="shared" si="30"/>
        <v>0</v>
      </c>
      <c r="K180" s="37"/>
      <c r="L180" s="81"/>
      <c r="M180" s="81"/>
      <c r="N180" s="30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2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2"/>
      <c r="BG180" s="107"/>
    </row>
    <row r="181" spans="1:59" s="33" customFormat="1" ht="39.75" hidden="1" thickBot="1" x14ac:dyDescent="0.3">
      <c r="A181" s="27" t="str">
        <f t="shared" si="31"/>
        <v/>
      </c>
      <c r="B181" s="28" t="s">
        <v>182</v>
      </c>
      <c r="C181" s="28"/>
      <c r="D181" s="200">
        <v>3700000</v>
      </c>
      <c r="E181" s="275"/>
      <c r="F181" s="279"/>
      <c r="G181" s="201" t="s">
        <v>150</v>
      </c>
      <c r="H181" s="275"/>
      <c r="I181" s="123"/>
      <c r="J181" s="49">
        <f t="shared" si="30"/>
        <v>0</v>
      </c>
      <c r="K181" s="60">
        <f>SUM(K183)</f>
        <v>0</v>
      </c>
      <c r="L181" s="64">
        <f>SUM(L183)</f>
        <v>0</v>
      </c>
      <c r="M181" s="64"/>
      <c r="N181" s="30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2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2"/>
      <c r="BG181" s="107"/>
    </row>
    <row r="182" spans="1:59" s="33" customFormat="1" ht="39.75" hidden="1" thickBot="1" x14ac:dyDescent="0.3">
      <c r="A182" s="27" t="str">
        <f t="shared" si="31"/>
        <v/>
      </c>
      <c r="B182" s="28" t="s">
        <v>182</v>
      </c>
      <c r="C182" s="28"/>
      <c r="D182" s="248">
        <v>3710000</v>
      </c>
      <c r="E182" s="234"/>
      <c r="F182" s="211"/>
      <c r="G182" s="181" t="s">
        <v>150</v>
      </c>
      <c r="H182" s="234"/>
      <c r="I182" s="112"/>
      <c r="J182" s="41">
        <f t="shared" si="30"/>
        <v>0</v>
      </c>
      <c r="K182" s="90">
        <f>+K183</f>
        <v>0</v>
      </c>
      <c r="L182" s="89">
        <f>+L183</f>
        <v>0</v>
      </c>
      <c r="M182" s="89"/>
      <c r="N182" s="30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2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2"/>
      <c r="BG182" s="107"/>
    </row>
    <row r="183" spans="1:59" s="33" customFormat="1" ht="277.5" hidden="1" customHeight="1" thickBot="1" x14ac:dyDescent="0.3">
      <c r="A183" s="27" t="str">
        <f t="shared" si="31"/>
        <v/>
      </c>
      <c r="B183" s="28" t="s">
        <v>182</v>
      </c>
      <c r="C183" s="28"/>
      <c r="D183" s="393">
        <v>3716072</v>
      </c>
      <c r="E183" s="371">
        <v>6072</v>
      </c>
      <c r="F183" s="392" t="s">
        <v>211</v>
      </c>
      <c r="G183" s="450" t="s">
        <v>210</v>
      </c>
      <c r="H183" s="371"/>
      <c r="I183" s="124"/>
      <c r="J183" s="46">
        <f t="shared" si="30"/>
        <v>0</v>
      </c>
      <c r="K183" s="46"/>
      <c r="L183" s="110"/>
      <c r="M183" s="110"/>
      <c r="N183" s="30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2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2"/>
      <c r="BG183" s="107"/>
    </row>
    <row r="184" spans="1:59" s="33" customFormat="1" ht="75" x14ac:dyDescent="0.25">
      <c r="A184" s="27" t="str">
        <f t="shared" si="31"/>
        <v>п</v>
      </c>
      <c r="B184" s="28"/>
      <c r="C184" s="28"/>
      <c r="D184" s="172"/>
      <c r="E184" s="171"/>
      <c r="F184" s="172"/>
      <c r="G184" s="173"/>
      <c r="H184" s="174" t="s">
        <v>324</v>
      </c>
      <c r="I184" s="175" t="s">
        <v>328</v>
      </c>
      <c r="J184" s="176">
        <f t="shared" si="30"/>
        <v>1852000</v>
      </c>
      <c r="K184" s="177">
        <f t="shared" ref="K184:M185" si="32">+K185</f>
        <v>52000</v>
      </c>
      <c r="L184" s="178">
        <f t="shared" si="32"/>
        <v>1800000</v>
      </c>
      <c r="M184" s="178">
        <f t="shared" si="32"/>
        <v>1800000</v>
      </c>
      <c r="N184" s="30">
        <f>SUM(O184:W184)</f>
        <v>0</v>
      </c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2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2">
        <f>Y184+N184</f>
        <v>0</v>
      </c>
      <c r="BG184" s="107"/>
    </row>
    <row r="185" spans="1:59" s="44" customFormat="1" ht="19.5" x14ac:dyDescent="0.25">
      <c r="A185" s="27" t="str">
        <f t="shared" si="31"/>
        <v>п</v>
      </c>
      <c r="B185" s="28" t="s">
        <v>178</v>
      </c>
      <c r="C185" s="28"/>
      <c r="D185" s="225" t="s">
        <v>29</v>
      </c>
      <c r="E185" s="200"/>
      <c r="F185" s="200"/>
      <c r="G185" s="201" t="s">
        <v>3</v>
      </c>
      <c r="H185" s="202"/>
      <c r="I185" s="203"/>
      <c r="J185" s="204">
        <f t="shared" si="30"/>
        <v>1852000</v>
      </c>
      <c r="K185" s="205">
        <f t="shared" si="32"/>
        <v>52000</v>
      </c>
      <c r="L185" s="205">
        <f t="shared" si="32"/>
        <v>1800000</v>
      </c>
      <c r="M185" s="205">
        <f t="shared" si="32"/>
        <v>1800000</v>
      </c>
      <c r="N185" s="30">
        <f>SUM(O185:W185)</f>
        <v>0</v>
      </c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>
        <f>Y185+N185</f>
        <v>0</v>
      </c>
      <c r="BG185" s="107"/>
    </row>
    <row r="186" spans="1:59" s="44" customFormat="1" ht="19.5" x14ac:dyDescent="0.25">
      <c r="A186" s="27" t="str">
        <f t="shared" si="31"/>
        <v>п</v>
      </c>
      <c r="B186" s="28" t="s">
        <v>178</v>
      </c>
      <c r="C186" s="28"/>
      <c r="D186" s="179" t="s">
        <v>28</v>
      </c>
      <c r="E186" s="180"/>
      <c r="F186" s="180"/>
      <c r="G186" s="181" t="s">
        <v>3</v>
      </c>
      <c r="H186" s="182"/>
      <c r="I186" s="183"/>
      <c r="J186" s="184">
        <f t="shared" si="30"/>
        <v>1852000</v>
      </c>
      <c r="K186" s="185">
        <f>SUM(K187:K188)</f>
        <v>52000</v>
      </c>
      <c r="L186" s="185">
        <f>SUM(L187:L188)</f>
        <v>1800000</v>
      </c>
      <c r="M186" s="185">
        <f>SUM(M187:M188)</f>
        <v>1800000</v>
      </c>
      <c r="N186" s="30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BG186" s="107"/>
    </row>
    <row r="187" spans="1:59" s="44" customFormat="1" ht="19.5" x14ac:dyDescent="0.25">
      <c r="A187" s="27" t="str">
        <f t="shared" ref="A187" si="33">IF(J187=0,"","п")</f>
        <v>п</v>
      </c>
      <c r="B187" s="28" t="s">
        <v>178</v>
      </c>
      <c r="C187" s="28"/>
      <c r="D187" s="369" t="s">
        <v>106</v>
      </c>
      <c r="E187" s="279" t="s">
        <v>107</v>
      </c>
      <c r="F187" s="279" t="s">
        <v>108</v>
      </c>
      <c r="G187" s="394" t="s">
        <v>109</v>
      </c>
      <c r="H187" s="259"/>
      <c r="I187" s="260"/>
      <c r="J187" s="488">
        <f>+K187+L187</f>
        <v>52000</v>
      </c>
      <c r="K187" s="385">
        <v>52000</v>
      </c>
      <c r="L187" s="385"/>
      <c r="M187" s="385"/>
      <c r="N187" s="30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BG187" s="107"/>
    </row>
    <row r="188" spans="1:59" s="33" customFormat="1" ht="38.25" thickBot="1" x14ac:dyDescent="0.3">
      <c r="A188" s="27" t="str">
        <f>IF(J188=0,"","п")</f>
        <v>п</v>
      </c>
      <c r="B188" s="28" t="s">
        <v>178</v>
      </c>
      <c r="C188" s="28"/>
      <c r="D188" s="188" t="s">
        <v>325</v>
      </c>
      <c r="E188" s="216">
        <v>7350</v>
      </c>
      <c r="F188" s="188" t="s">
        <v>154</v>
      </c>
      <c r="G188" s="189" t="s">
        <v>326</v>
      </c>
      <c r="H188" s="190"/>
      <c r="I188" s="191"/>
      <c r="J188" s="192">
        <f>+K188+L188</f>
        <v>1800000</v>
      </c>
      <c r="K188" s="193"/>
      <c r="L188" s="207">
        <v>1800000</v>
      </c>
      <c r="M188" s="207">
        <v>1800000</v>
      </c>
      <c r="N188" s="30">
        <f>SUM(O188:W188)</f>
        <v>0</v>
      </c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2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2">
        <f>Y188+N188</f>
        <v>0</v>
      </c>
      <c r="BG188" s="107"/>
    </row>
    <row r="189" spans="1:59" s="33" customFormat="1" ht="57.75" hidden="1" customHeight="1" x14ac:dyDescent="0.25">
      <c r="A189" s="27" t="str">
        <f t="shared" si="31"/>
        <v/>
      </c>
      <c r="B189" s="28"/>
      <c r="C189" s="28"/>
      <c r="D189" s="172"/>
      <c r="E189" s="171"/>
      <c r="F189" s="172"/>
      <c r="G189" s="451"/>
      <c r="H189" s="174" t="s">
        <v>20</v>
      </c>
      <c r="I189" s="175" t="s">
        <v>218</v>
      </c>
      <c r="J189" s="176">
        <f t="shared" si="30"/>
        <v>0</v>
      </c>
      <c r="K189" s="177">
        <f>K190</f>
        <v>0</v>
      </c>
      <c r="L189" s="177">
        <f>+L190</f>
        <v>0</v>
      </c>
      <c r="M189" s="177">
        <f>+M190</f>
        <v>0</v>
      </c>
      <c r="N189" s="30">
        <f>SUM(O189:W189)</f>
        <v>0</v>
      </c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2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2">
        <f>Y189+N189</f>
        <v>0</v>
      </c>
      <c r="BG189" s="107"/>
    </row>
    <row r="190" spans="1:59" s="44" customFormat="1" ht="59.25" hidden="1" thickBot="1" x14ac:dyDescent="0.3">
      <c r="A190" s="27" t="str">
        <f t="shared" si="31"/>
        <v/>
      </c>
      <c r="B190" s="28" t="s">
        <v>181</v>
      </c>
      <c r="C190" s="28"/>
      <c r="D190" s="225" t="s">
        <v>62</v>
      </c>
      <c r="E190" s="200"/>
      <c r="F190" s="200"/>
      <c r="G190" s="201" t="s">
        <v>9</v>
      </c>
      <c r="H190" s="202"/>
      <c r="I190" s="140"/>
      <c r="J190" s="131">
        <f t="shared" si="30"/>
        <v>0</v>
      </c>
      <c r="K190" s="60">
        <f>SUM(K192:K192)</f>
        <v>0</v>
      </c>
      <c r="L190" s="64">
        <f>SUM(L192:L192)</f>
        <v>0</v>
      </c>
      <c r="M190" s="64">
        <f>SUM(M192:M192)</f>
        <v>0</v>
      </c>
      <c r="N190" s="30">
        <f>SUM(O190:W190)</f>
        <v>0</v>
      </c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32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32">
        <f>Y190+N190</f>
        <v>0</v>
      </c>
      <c r="BG190" s="107"/>
    </row>
    <row r="191" spans="1:59" s="44" customFormat="1" ht="59.25" hidden="1" thickBot="1" x14ac:dyDescent="0.3">
      <c r="A191" s="27" t="str">
        <f t="shared" si="31"/>
        <v/>
      </c>
      <c r="B191" s="28" t="s">
        <v>181</v>
      </c>
      <c r="C191" s="28"/>
      <c r="D191" s="225" t="s">
        <v>63</v>
      </c>
      <c r="E191" s="200"/>
      <c r="F191" s="200"/>
      <c r="G191" s="201" t="s">
        <v>9</v>
      </c>
      <c r="H191" s="202"/>
      <c r="I191" s="140"/>
      <c r="J191" s="131">
        <f t="shared" si="30"/>
        <v>0</v>
      </c>
      <c r="K191" s="60">
        <f>K192</f>
        <v>0</v>
      </c>
      <c r="L191" s="64">
        <f>L192</f>
        <v>0</v>
      </c>
      <c r="M191" s="64">
        <f>M192</f>
        <v>0</v>
      </c>
      <c r="N191" s="30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32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32"/>
      <c r="BG191" s="107"/>
    </row>
    <row r="192" spans="1:59" s="33" customFormat="1" ht="19.5" hidden="1" thickBot="1" x14ac:dyDescent="0.3">
      <c r="A192" s="27" t="str">
        <f t="shared" si="31"/>
        <v/>
      </c>
      <c r="B192" s="28" t="s">
        <v>181</v>
      </c>
      <c r="C192" s="28"/>
      <c r="D192" s="188">
        <v>1218340</v>
      </c>
      <c r="E192" s="216">
        <v>8340</v>
      </c>
      <c r="F192" s="393" t="s">
        <v>202</v>
      </c>
      <c r="G192" s="189" t="s">
        <v>201</v>
      </c>
      <c r="H192" s="190"/>
      <c r="I192" s="111"/>
      <c r="J192" s="129">
        <f t="shared" si="30"/>
        <v>0</v>
      </c>
      <c r="K192" s="37"/>
      <c r="L192" s="37"/>
      <c r="M192" s="37"/>
      <c r="N192" s="30">
        <f>SUM(O192:W192)</f>
        <v>0</v>
      </c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2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2">
        <f>Y192+N192</f>
        <v>0</v>
      </c>
      <c r="BG192" s="107"/>
    </row>
    <row r="193" spans="1:59" s="197" customFormat="1" ht="78.75" customHeight="1" x14ac:dyDescent="0.3">
      <c r="A193" s="156" t="str">
        <f t="shared" si="31"/>
        <v>п</v>
      </c>
      <c r="B193" s="157"/>
      <c r="C193" s="28"/>
      <c r="D193" s="172"/>
      <c r="E193" s="171"/>
      <c r="F193" s="172"/>
      <c r="G193" s="173"/>
      <c r="H193" s="174" t="s">
        <v>147</v>
      </c>
      <c r="I193" s="240" t="s">
        <v>286</v>
      </c>
      <c r="J193" s="176">
        <f t="shared" si="30"/>
        <v>1775</v>
      </c>
      <c r="K193" s="177">
        <f>+K194</f>
        <v>1775</v>
      </c>
      <c r="L193" s="177">
        <f>+L194</f>
        <v>0</v>
      </c>
      <c r="M193" s="177">
        <f>+M194</f>
        <v>0</v>
      </c>
      <c r="N193" s="30">
        <f>SUM(O193:W193)</f>
        <v>0</v>
      </c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2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2">
        <f>Y193+N193</f>
        <v>0</v>
      </c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198"/>
    </row>
    <row r="194" spans="1:59" s="199" customFormat="1" ht="19.5" x14ac:dyDescent="0.3">
      <c r="A194" s="156" t="str">
        <f t="shared" si="31"/>
        <v>п</v>
      </c>
      <c r="B194" s="157" t="s">
        <v>178</v>
      </c>
      <c r="C194" s="28"/>
      <c r="D194" s="179" t="s">
        <v>29</v>
      </c>
      <c r="E194" s="179"/>
      <c r="F194" s="179"/>
      <c r="G194" s="181" t="s">
        <v>3</v>
      </c>
      <c r="H194" s="202"/>
      <c r="I194" s="203"/>
      <c r="J194" s="204">
        <f t="shared" si="30"/>
        <v>1775</v>
      </c>
      <c r="K194" s="205">
        <f>+K196</f>
        <v>1775</v>
      </c>
      <c r="L194" s="205"/>
      <c r="M194" s="205"/>
      <c r="N194" s="30">
        <f>SUM(O194:W194)</f>
        <v>0</v>
      </c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32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32">
        <f>Y194+N194</f>
        <v>0</v>
      </c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198"/>
    </row>
    <row r="195" spans="1:59" s="199" customFormat="1" ht="19.5" x14ac:dyDescent="0.3">
      <c r="A195" s="156" t="str">
        <f t="shared" si="31"/>
        <v>п</v>
      </c>
      <c r="B195" s="157" t="s">
        <v>178</v>
      </c>
      <c r="C195" s="28"/>
      <c r="D195" s="179" t="s">
        <v>28</v>
      </c>
      <c r="E195" s="179"/>
      <c r="F195" s="179"/>
      <c r="G195" s="181" t="s">
        <v>3</v>
      </c>
      <c r="H195" s="259"/>
      <c r="I195" s="260"/>
      <c r="J195" s="261">
        <f t="shared" si="30"/>
        <v>1775</v>
      </c>
      <c r="K195" s="262">
        <f>+K196</f>
        <v>1775</v>
      </c>
      <c r="L195" s="269">
        <f>+L196</f>
        <v>0</v>
      </c>
      <c r="M195" s="269">
        <f>+M196</f>
        <v>0</v>
      </c>
      <c r="N195" s="30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32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32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198"/>
    </row>
    <row r="196" spans="1:59" s="197" customFormat="1" ht="19.5" thickBot="1" x14ac:dyDescent="0.35">
      <c r="A196" s="156" t="str">
        <f t="shared" si="31"/>
        <v>п</v>
      </c>
      <c r="B196" s="157" t="s">
        <v>178</v>
      </c>
      <c r="C196" s="28"/>
      <c r="D196" s="188" t="s">
        <v>206</v>
      </c>
      <c r="E196" s="254" t="s">
        <v>207</v>
      </c>
      <c r="F196" s="255" t="s">
        <v>208</v>
      </c>
      <c r="G196" s="256" t="s">
        <v>209</v>
      </c>
      <c r="H196" s="264"/>
      <c r="I196" s="257"/>
      <c r="J196" s="270">
        <f t="shared" si="30"/>
        <v>1775</v>
      </c>
      <c r="K196" s="258">
        <v>1775</v>
      </c>
      <c r="L196" s="258"/>
      <c r="M196" s="258"/>
      <c r="N196" s="30">
        <f>SUM(O196:W196)</f>
        <v>0</v>
      </c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2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2">
        <f>Y196+N196</f>
        <v>0</v>
      </c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198"/>
    </row>
    <row r="197" spans="1:59" s="44" customFormat="1" ht="57" hidden="1" thickBot="1" x14ac:dyDescent="0.3">
      <c r="A197" s="27" t="str">
        <f t="shared" si="31"/>
        <v/>
      </c>
      <c r="B197" s="28"/>
      <c r="C197" s="28"/>
      <c r="D197" s="236"/>
      <c r="E197" s="173"/>
      <c r="F197" s="236"/>
      <c r="G197" s="173"/>
      <c r="H197" s="174" t="s">
        <v>239</v>
      </c>
      <c r="I197" s="145" t="s">
        <v>219</v>
      </c>
      <c r="J197" s="127">
        <f t="shared" si="30"/>
        <v>0</v>
      </c>
      <c r="K197" s="29">
        <f>K198</f>
        <v>0</v>
      </c>
      <c r="L197" s="29">
        <f>L198</f>
        <v>0</v>
      </c>
      <c r="M197" s="29">
        <f>M198</f>
        <v>0</v>
      </c>
      <c r="N197" s="30">
        <f>SUM(O197:W197)</f>
        <v>0</v>
      </c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2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2">
        <f>Y197+N197</f>
        <v>0</v>
      </c>
      <c r="BG197" s="107"/>
    </row>
    <row r="198" spans="1:59" s="44" customFormat="1" ht="39.75" hidden="1" thickBot="1" x14ac:dyDescent="0.3">
      <c r="A198" s="27" t="str">
        <f t="shared" si="31"/>
        <v/>
      </c>
      <c r="B198" s="28" t="s">
        <v>179</v>
      </c>
      <c r="C198" s="28"/>
      <c r="D198" s="200" t="s">
        <v>30</v>
      </c>
      <c r="E198" s="200"/>
      <c r="F198" s="200"/>
      <c r="G198" s="201" t="s">
        <v>18</v>
      </c>
      <c r="H198" s="182"/>
      <c r="I198" s="119"/>
      <c r="J198" s="128">
        <f t="shared" si="30"/>
        <v>0</v>
      </c>
      <c r="K198" s="62">
        <f>K200</f>
        <v>0</v>
      </c>
      <c r="L198" s="62">
        <f>L200</f>
        <v>0</v>
      </c>
      <c r="M198" s="62">
        <f>M200</f>
        <v>0</v>
      </c>
      <c r="N198" s="30">
        <f>SUM(O198:W198)</f>
        <v>0</v>
      </c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32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32">
        <f>Y198+N198</f>
        <v>0</v>
      </c>
      <c r="BG198" s="107"/>
    </row>
    <row r="199" spans="1:59" s="44" customFormat="1" ht="39.75" hidden="1" thickBot="1" x14ac:dyDescent="0.3">
      <c r="A199" s="27" t="str">
        <f t="shared" si="31"/>
        <v/>
      </c>
      <c r="B199" s="28" t="s">
        <v>179</v>
      </c>
      <c r="C199" s="28"/>
      <c r="D199" s="200" t="s">
        <v>31</v>
      </c>
      <c r="E199" s="200"/>
      <c r="F199" s="200"/>
      <c r="G199" s="201" t="s">
        <v>18</v>
      </c>
      <c r="H199" s="226"/>
      <c r="I199" s="116"/>
      <c r="J199" s="132">
        <f t="shared" si="30"/>
        <v>0</v>
      </c>
      <c r="K199" s="90">
        <f>+K200</f>
        <v>0</v>
      </c>
      <c r="L199" s="93">
        <f>+L200</f>
        <v>0</v>
      </c>
      <c r="M199" s="93">
        <f>+M200</f>
        <v>0</v>
      </c>
      <c r="N199" s="30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32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32"/>
      <c r="BG199" s="107"/>
    </row>
    <row r="200" spans="1:59" s="44" customFormat="1" ht="19.5" hidden="1" thickBot="1" x14ac:dyDescent="0.3">
      <c r="A200" s="27" t="str">
        <f t="shared" si="31"/>
        <v/>
      </c>
      <c r="B200" s="28" t="s">
        <v>179</v>
      </c>
      <c r="C200" s="28"/>
      <c r="D200" s="255" t="s">
        <v>192</v>
      </c>
      <c r="E200" s="255" t="s">
        <v>193</v>
      </c>
      <c r="F200" s="255" t="s">
        <v>21</v>
      </c>
      <c r="G200" s="256" t="s">
        <v>76</v>
      </c>
      <c r="H200" s="264"/>
      <c r="I200" s="113"/>
      <c r="J200" s="137">
        <f t="shared" si="30"/>
        <v>0</v>
      </c>
      <c r="K200" s="43"/>
      <c r="L200" s="148"/>
      <c r="M200" s="43"/>
      <c r="N200" s="30">
        <f>SUM(O200:W200)</f>
        <v>0</v>
      </c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>
        <f>Y200+N200</f>
        <v>0</v>
      </c>
      <c r="BG200" s="107"/>
    </row>
    <row r="201" spans="1:59" s="44" customFormat="1" ht="74.25" customHeight="1" x14ac:dyDescent="0.25">
      <c r="A201" s="27" t="str">
        <f t="shared" si="31"/>
        <v>п</v>
      </c>
      <c r="B201" s="28"/>
      <c r="C201" s="28"/>
      <c r="D201" s="236"/>
      <c r="E201" s="173"/>
      <c r="F201" s="236"/>
      <c r="G201" s="173"/>
      <c r="H201" s="174" t="s">
        <v>305</v>
      </c>
      <c r="I201" s="175" t="s">
        <v>329</v>
      </c>
      <c r="J201" s="176">
        <f t="shared" si="30"/>
        <v>5638360</v>
      </c>
      <c r="K201" s="177">
        <f>K202</f>
        <v>5638360</v>
      </c>
      <c r="L201" s="177">
        <f>L202</f>
        <v>0</v>
      </c>
      <c r="M201" s="177">
        <f>M202</f>
        <v>0</v>
      </c>
      <c r="N201" s="30">
        <f>SUM(O201:W201)</f>
        <v>0</v>
      </c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2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2">
        <f>Y201+N201</f>
        <v>0</v>
      </c>
      <c r="BG201" s="107"/>
    </row>
    <row r="202" spans="1:59" s="44" customFormat="1" ht="37.5" customHeight="1" x14ac:dyDescent="0.25">
      <c r="A202" s="27" t="str">
        <f t="shared" si="31"/>
        <v>п</v>
      </c>
      <c r="B202" s="28" t="s">
        <v>182</v>
      </c>
      <c r="C202" s="28"/>
      <c r="D202" s="200" t="s">
        <v>244</v>
      </c>
      <c r="E202" s="200"/>
      <c r="F202" s="200"/>
      <c r="G202" s="201" t="s">
        <v>245</v>
      </c>
      <c r="H202" s="182"/>
      <c r="I202" s="183"/>
      <c r="J202" s="184">
        <f>+K202+L202</f>
        <v>5638360</v>
      </c>
      <c r="K202" s="185">
        <f>K204</f>
        <v>5638360</v>
      </c>
      <c r="L202" s="185">
        <f>L204</f>
        <v>0</v>
      </c>
      <c r="M202" s="185">
        <f>M204</f>
        <v>0</v>
      </c>
      <c r="N202" s="30">
        <f>SUM(O202:W202)</f>
        <v>0</v>
      </c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32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32">
        <f>Y202+N202</f>
        <v>0</v>
      </c>
      <c r="BG202" s="107"/>
    </row>
    <row r="203" spans="1:59" s="44" customFormat="1" ht="39.75" customHeight="1" x14ac:dyDescent="0.25">
      <c r="A203" s="27" t="str">
        <f t="shared" si="31"/>
        <v>п</v>
      </c>
      <c r="B203" s="28" t="s">
        <v>182</v>
      </c>
      <c r="C203" s="28"/>
      <c r="D203" s="273" t="s">
        <v>246</v>
      </c>
      <c r="E203" s="273"/>
      <c r="F203" s="273"/>
      <c r="G203" s="274" t="s">
        <v>245</v>
      </c>
      <c r="H203" s="226"/>
      <c r="I203" s="227"/>
      <c r="J203" s="228">
        <f t="shared" si="30"/>
        <v>5638360</v>
      </c>
      <c r="K203" s="252">
        <f>SUM(K204:K204)</f>
        <v>5638360</v>
      </c>
      <c r="L203" s="252">
        <f>SUM(L204:L204)</f>
        <v>0</v>
      </c>
      <c r="M203" s="252">
        <f>SUM(M204:M204)</f>
        <v>0</v>
      </c>
      <c r="N203" s="30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32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32"/>
      <c r="BG203" s="107"/>
    </row>
    <row r="204" spans="1:59" s="44" customFormat="1" ht="27.75" customHeight="1" thickBot="1" x14ac:dyDescent="0.3">
      <c r="A204" s="27" t="str">
        <f t="shared" si="31"/>
        <v>п</v>
      </c>
      <c r="B204" s="28" t="s">
        <v>182</v>
      </c>
      <c r="C204" s="28"/>
      <c r="D204" s="211" t="s">
        <v>306</v>
      </c>
      <c r="E204" s="211" t="s">
        <v>307</v>
      </c>
      <c r="F204" s="211" t="s">
        <v>308</v>
      </c>
      <c r="G204" s="447" t="s">
        <v>309</v>
      </c>
      <c r="H204" s="229"/>
      <c r="I204" s="230"/>
      <c r="J204" s="231">
        <f t="shared" si="30"/>
        <v>5638360</v>
      </c>
      <c r="K204" s="232">
        <v>5638360</v>
      </c>
      <c r="L204" s="232"/>
      <c r="M204" s="232"/>
      <c r="N204" s="30">
        <f>SUM(O204:W204)</f>
        <v>0</v>
      </c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>
        <f>Y204+N204</f>
        <v>0</v>
      </c>
      <c r="BG204" s="107"/>
    </row>
    <row r="205" spans="1:59" s="199" customFormat="1" ht="60" hidden="1" customHeight="1" x14ac:dyDescent="0.3">
      <c r="A205" s="156" t="str">
        <f t="shared" si="31"/>
        <v/>
      </c>
      <c r="B205" s="157"/>
      <c r="C205" s="28"/>
      <c r="D205" s="236"/>
      <c r="E205" s="173"/>
      <c r="F205" s="236"/>
      <c r="G205" s="173"/>
      <c r="H205" s="173" t="s">
        <v>233</v>
      </c>
      <c r="I205" s="175" t="s">
        <v>232</v>
      </c>
      <c r="J205" s="177">
        <f t="shared" si="30"/>
        <v>0</v>
      </c>
      <c r="K205" s="177">
        <f>K206</f>
        <v>0</v>
      </c>
      <c r="L205" s="177">
        <f>L206</f>
        <v>0</v>
      </c>
      <c r="M205" s="177">
        <f>M206</f>
        <v>0</v>
      </c>
      <c r="N205" s="30">
        <f>SUM(O205:W205)</f>
        <v>0</v>
      </c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2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2">
        <f>Y205+N205</f>
        <v>0</v>
      </c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198"/>
    </row>
    <row r="206" spans="1:59" s="199" customFormat="1" ht="20.25" hidden="1" thickBot="1" x14ac:dyDescent="0.35">
      <c r="A206" s="156" t="str">
        <f t="shared" si="31"/>
        <v/>
      </c>
      <c r="B206" s="157" t="s">
        <v>178</v>
      </c>
      <c r="C206" s="28"/>
      <c r="D206" s="179" t="s">
        <v>29</v>
      </c>
      <c r="E206" s="179"/>
      <c r="F206" s="179"/>
      <c r="G206" s="181" t="s">
        <v>3</v>
      </c>
      <c r="H206" s="271"/>
      <c r="I206" s="183"/>
      <c r="J206" s="185">
        <f t="shared" si="30"/>
        <v>0</v>
      </c>
      <c r="K206" s="185">
        <f t="shared" ref="K206:M207" si="34">+K207</f>
        <v>0</v>
      </c>
      <c r="L206" s="185">
        <f t="shared" si="34"/>
        <v>0</v>
      </c>
      <c r="M206" s="185">
        <f t="shared" si="34"/>
        <v>0</v>
      </c>
      <c r="N206" s="30">
        <f>SUM(O206:W206)</f>
        <v>0</v>
      </c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32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32">
        <f>Y206+N206</f>
        <v>0</v>
      </c>
      <c r="AL206" s="44"/>
      <c r="AM206" s="44"/>
      <c r="AN206" s="44"/>
      <c r="AO206" s="44"/>
      <c r="AP206" s="44"/>
      <c r="AQ206" s="44"/>
      <c r="AR206" s="44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198"/>
    </row>
    <row r="207" spans="1:59" s="199" customFormat="1" ht="20.25" hidden="1" thickBot="1" x14ac:dyDescent="0.35">
      <c r="A207" s="156" t="str">
        <f t="shared" si="31"/>
        <v/>
      </c>
      <c r="B207" s="157" t="s">
        <v>178</v>
      </c>
      <c r="C207" s="28"/>
      <c r="D207" s="179" t="s">
        <v>28</v>
      </c>
      <c r="E207" s="179"/>
      <c r="F207" s="179"/>
      <c r="G207" s="181" t="s">
        <v>3</v>
      </c>
      <c r="H207" s="247"/>
      <c r="I207" s="227"/>
      <c r="J207" s="252">
        <f t="shared" si="30"/>
        <v>0</v>
      </c>
      <c r="K207" s="252">
        <f t="shared" si="34"/>
        <v>0</v>
      </c>
      <c r="L207" s="272">
        <f t="shared" si="34"/>
        <v>0</v>
      </c>
      <c r="M207" s="272">
        <f t="shared" si="34"/>
        <v>0</v>
      </c>
      <c r="N207" s="30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32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32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  <c r="BE207" s="44"/>
      <c r="BF207" s="44"/>
      <c r="BG207" s="198"/>
    </row>
    <row r="208" spans="1:59" s="197" customFormat="1" ht="22.5" hidden="1" customHeight="1" thickBot="1" x14ac:dyDescent="0.35">
      <c r="A208" s="156" t="str">
        <f t="shared" si="31"/>
        <v/>
      </c>
      <c r="B208" s="157" t="s">
        <v>178</v>
      </c>
      <c r="C208" s="103"/>
      <c r="D208" s="212" t="s">
        <v>106</v>
      </c>
      <c r="E208" s="187" t="s">
        <v>107</v>
      </c>
      <c r="F208" s="188" t="s">
        <v>108</v>
      </c>
      <c r="G208" s="189" t="s">
        <v>109</v>
      </c>
      <c r="H208" s="216"/>
      <c r="I208" s="191"/>
      <c r="J208" s="193">
        <f>+K208+L208</f>
        <v>0</v>
      </c>
      <c r="K208" s="193">
        <f>100000+1800000-1800000-100000</f>
        <v>0</v>
      </c>
      <c r="L208" s="193">
        <f>1800000-1800000</f>
        <v>0</v>
      </c>
      <c r="M208" s="193">
        <f>1800000-1800000</f>
        <v>0</v>
      </c>
      <c r="N208" s="30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2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2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198"/>
    </row>
    <row r="209" spans="1:59" s="199" customFormat="1" ht="102" customHeight="1" x14ac:dyDescent="0.3">
      <c r="A209" s="156" t="str">
        <f t="shared" si="31"/>
        <v>п</v>
      </c>
      <c r="B209" s="157"/>
      <c r="C209" s="28"/>
      <c r="D209" s="236"/>
      <c r="E209" s="173"/>
      <c r="F209" s="236"/>
      <c r="G209" s="173"/>
      <c r="H209" s="174" t="s">
        <v>126</v>
      </c>
      <c r="I209" s="175" t="s">
        <v>253</v>
      </c>
      <c r="J209" s="176">
        <f t="shared" si="30"/>
        <v>2436175.96</v>
      </c>
      <c r="K209" s="177">
        <f t="shared" ref="K209:M210" si="35">K210</f>
        <v>2436175.96</v>
      </c>
      <c r="L209" s="177">
        <f t="shared" si="35"/>
        <v>0</v>
      </c>
      <c r="M209" s="177">
        <f t="shared" si="35"/>
        <v>0</v>
      </c>
      <c r="N209" s="30">
        <f>SUM(O209:W209)</f>
        <v>0</v>
      </c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2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2">
        <f>Y209+N209</f>
        <v>0</v>
      </c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198"/>
    </row>
    <row r="210" spans="1:59" s="199" customFormat="1" ht="37.5" customHeight="1" x14ac:dyDescent="0.3">
      <c r="A210" s="156" t="str">
        <f t="shared" si="31"/>
        <v>п</v>
      </c>
      <c r="B210" s="157" t="s">
        <v>181</v>
      </c>
      <c r="C210" s="28"/>
      <c r="D210" s="200" t="s">
        <v>62</v>
      </c>
      <c r="E210" s="200"/>
      <c r="F210" s="200"/>
      <c r="G210" s="201" t="s">
        <v>9</v>
      </c>
      <c r="H210" s="182"/>
      <c r="I210" s="183"/>
      <c r="J210" s="184">
        <f>+K210+L210</f>
        <v>2436175.96</v>
      </c>
      <c r="K210" s="185">
        <f t="shared" si="35"/>
        <v>2436175.96</v>
      </c>
      <c r="L210" s="185">
        <f t="shared" si="35"/>
        <v>0</v>
      </c>
      <c r="M210" s="185">
        <f t="shared" si="35"/>
        <v>0</v>
      </c>
      <c r="N210" s="30">
        <f>SUM(O210:W210)</f>
        <v>0</v>
      </c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32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32">
        <f>Y210+N210</f>
        <v>0</v>
      </c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198"/>
    </row>
    <row r="211" spans="1:59" s="199" customFormat="1" ht="39.75" customHeight="1" x14ac:dyDescent="0.3">
      <c r="A211" s="156" t="str">
        <f t="shared" si="31"/>
        <v>п</v>
      </c>
      <c r="B211" s="157" t="s">
        <v>181</v>
      </c>
      <c r="C211" s="28"/>
      <c r="D211" s="273" t="s">
        <v>63</v>
      </c>
      <c r="E211" s="273"/>
      <c r="F211" s="273"/>
      <c r="G211" s="274" t="s">
        <v>9</v>
      </c>
      <c r="H211" s="226"/>
      <c r="I211" s="227"/>
      <c r="J211" s="228">
        <f>+K211+L211</f>
        <v>2436175.96</v>
      </c>
      <c r="K211" s="252">
        <f>SUM(K212:K213)</f>
        <v>2436175.96</v>
      </c>
      <c r="L211" s="252">
        <f>SUM(L212:L213)</f>
        <v>0</v>
      </c>
      <c r="M211" s="252">
        <f>SUM(M212:M213)</f>
        <v>0</v>
      </c>
      <c r="N211" s="30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32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32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198"/>
    </row>
    <row r="212" spans="1:59" s="199" customFormat="1" ht="39.75" hidden="1" customHeight="1" x14ac:dyDescent="0.3">
      <c r="A212" s="156" t="str">
        <f t="shared" si="31"/>
        <v/>
      </c>
      <c r="B212" s="157" t="s">
        <v>181</v>
      </c>
      <c r="C212" s="28"/>
      <c r="D212" s="279" t="s">
        <v>82</v>
      </c>
      <c r="E212" s="275" t="s">
        <v>83</v>
      </c>
      <c r="F212" s="188" t="s">
        <v>154</v>
      </c>
      <c r="G212" s="276" t="s">
        <v>84</v>
      </c>
      <c r="H212" s="226"/>
      <c r="I212" s="227"/>
      <c r="J212" s="231">
        <f>+K212+L212</f>
        <v>0</v>
      </c>
      <c r="K212" s="232"/>
      <c r="L212" s="277">
        <f>2000000-2000000</f>
        <v>0</v>
      </c>
      <c r="M212" s="277">
        <f>2000000-2000000</f>
        <v>0</v>
      </c>
      <c r="N212" s="30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32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32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198"/>
    </row>
    <row r="213" spans="1:59" s="199" customFormat="1" ht="39" customHeight="1" thickBot="1" x14ac:dyDescent="0.35">
      <c r="A213" s="156" t="str">
        <f t="shared" si="31"/>
        <v>п</v>
      </c>
      <c r="B213" s="157" t="s">
        <v>181</v>
      </c>
      <c r="C213" s="157"/>
      <c r="D213" s="372" t="s">
        <v>203</v>
      </c>
      <c r="E213" s="210" t="s">
        <v>204</v>
      </c>
      <c r="F213" s="383" t="s">
        <v>131</v>
      </c>
      <c r="G213" s="384" t="s">
        <v>205</v>
      </c>
      <c r="H213" s="229"/>
      <c r="I213" s="230"/>
      <c r="J213" s="231">
        <f t="shared" si="30"/>
        <v>2436175.96</v>
      </c>
      <c r="K213" s="232">
        <f>2000000+54183.96+181992+200000</f>
        <v>2436175.96</v>
      </c>
      <c r="L213" s="385"/>
      <c r="M213" s="385"/>
      <c r="N213" s="386">
        <f>SUM(O213:W213)</f>
        <v>0</v>
      </c>
      <c r="O213" s="387"/>
      <c r="P213" s="387"/>
      <c r="Q213" s="387"/>
      <c r="R213" s="387"/>
      <c r="S213" s="387"/>
      <c r="T213" s="387"/>
      <c r="U213" s="387"/>
      <c r="V213" s="387"/>
      <c r="W213" s="387"/>
      <c r="X213" s="387"/>
      <c r="Y213" s="387"/>
      <c r="Z213" s="387"/>
      <c r="AA213" s="387"/>
      <c r="AB213" s="387"/>
      <c r="AC213" s="387"/>
      <c r="AD213" s="387"/>
      <c r="AE213" s="387"/>
      <c r="AF213" s="387"/>
      <c r="AG213" s="387"/>
      <c r="AH213" s="387"/>
      <c r="AI213" s="387"/>
      <c r="AJ213" s="387"/>
      <c r="AK213" s="387">
        <f>Y213+N213</f>
        <v>0</v>
      </c>
      <c r="BG213" s="198"/>
    </row>
    <row r="214" spans="1:59" s="44" customFormat="1" ht="39" hidden="1" customHeight="1" thickBot="1" x14ac:dyDescent="0.3">
      <c r="A214" s="27" t="str">
        <f t="shared" si="31"/>
        <v/>
      </c>
      <c r="B214" s="28" t="s">
        <v>181</v>
      </c>
      <c r="C214" s="104"/>
      <c r="D214" s="465"/>
      <c r="E214" s="366"/>
      <c r="F214" s="289"/>
      <c r="G214" s="219" t="s">
        <v>22</v>
      </c>
      <c r="H214" s="374"/>
      <c r="I214" s="122"/>
      <c r="J214" s="135">
        <f t="shared" si="30"/>
        <v>0</v>
      </c>
      <c r="K214" s="83"/>
      <c r="L214" s="82"/>
      <c r="M214" s="49"/>
      <c r="N214" s="30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BG214" s="107"/>
    </row>
    <row r="215" spans="1:59" s="199" customFormat="1" ht="78.75" customHeight="1" x14ac:dyDescent="0.3">
      <c r="A215" s="156" t="str">
        <f t="shared" si="31"/>
        <v>п</v>
      </c>
      <c r="B215" s="157"/>
      <c r="C215" s="28"/>
      <c r="D215" s="236"/>
      <c r="E215" s="173"/>
      <c r="F215" s="236"/>
      <c r="G215" s="173"/>
      <c r="H215" s="174" t="s">
        <v>267</v>
      </c>
      <c r="I215" s="175" t="s">
        <v>268</v>
      </c>
      <c r="J215" s="176">
        <f t="shared" si="30"/>
        <v>26000</v>
      </c>
      <c r="K215" s="177">
        <f>K216</f>
        <v>26000</v>
      </c>
      <c r="L215" s="177">
        <f>L216</f>
        <v>0</v>
      </c>
      <c r="M215" s="177">
        <f>M216</f>
        <v>0</v>
      </c>
      <c r="N215" s="30">
        <f>SUM(O215:W215)</f>
        <v>0</v>
      </c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2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2">
        <f>Y215+N215</f>
        <v>0</v>
      </c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198"/>
    </row>
    <row r="216" spans="1:59" s="199" customFormat="1" ht="62.25" customHeight="1" x14ac:dyDescent="0.3">
      <c r="A216" s="156" t="str">
        <f t="shared" si="31"/>
        <v>п</v>
      </c>
      <c r="B216" s="157" t="s">
        <v>178</v>
      </c>
      <c r="C216" s="28"/>
      <c r="D216" s="225" t="s">
        <v>165</v>
      </c>
      <c r="E216" s="200"/>
      <c r="F216" s="200"/>
      <c r="G216" s="201" t="s">
        <v>296</v>
      </c>
      <c r="H216" s="182"/>
      <c r="I216" s="183"/>
      <c r="J216" s="184">
        <f t="shared" si="30"/>
        <v>26000</v>
      </c>
      <c r="K216" s="185">
        <f t="shared" ref="K216:M217" si="36">+K217</f>
        <v>26000</v>
      </c>
      <c r="L216" s="185">
        <f t="shared" si="36"/>
        <v>0</v>
      </c>
      <c r="M216" s="185">
        <f t="shared" si="36"/>
        <v>0</v>
      </c>
      <c r="N216" s="30">
        <f>SUM(O216:W216)</f>
        <v>0</v>
      </c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32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32">
        <f>Y216+N216</f>
        <v>0</v>
      </c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198"/>
    </row>
    <row r="217" spans="1:59" s="199" customFormat="1" ht="61.5" customHeight="1" x14ac:dyDescent="0.3">
      <c r="A217" s="156" t="str">
        <f t="shared" si="31"/>
        <v>п</v>
      </c>
      <c r="B217" s="157" t="s">
        <v>178</v>
      </c>
      <c r="C217" s="28"/>
      <c r="D217" s="225" t="s">
        <v>166</v>
      </c>
      <c r="E217" s="200"/>
      <c r="F217" s="200"/>
      <c r="G217" s="201" t="s">
        <v>296</v>
      </c>
      <c r="H217" s="226"/>
      <c r="I217" s="227"/>
      <c r="J217" s="228">
        <f t="shared" si="30"/>
        <v>26000</v>
      </c>
      <c r="K217" s="252">
        <f t="shared" si="36"/>
        <v>26000</v>
      </c>
      <c r="L217" s="272">
        <f t="shared" si="36"/>
        <v>0</v>
      </c>
      <c r="M217" s="272">
        <f t="shared" si="36"/>
        <v>0</v>
      </c>
      <c r="N217" s="30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32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32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  <c r="BF217" s="44"/>
      <c r="BG217" s="198"/>
    </row>
    <row r="218" spans="1:59" s="197" customFormat="1" ht="21" customHeight="1" thickBot="1" x14ac:dyDescent="0.35">
      <c r="A218" s="156" t="str">
        <f t="shared" si="31"/>
        <v>п</v>
      </c>
      <c r="B218" s="157" t="s">
        <v>178</v>
      </c>
      <c r="C218" s="103"/>
      <c r="D218" s="212" t="s">
        <v>197</v>
      </c>
      <c r="E218" s="187" t="s">
        <v>196</v>
      </c>
      <c r="F218" s="188" t="s">
        <v>27</v>
      </c>
      <c r="G218" s="189" t="s">
        <v>198</v>
      </c>
      <c r="H218" s="216"/>
      <c r="I218" s="191"/>
      <c r="J218" s="193">
        <f t="shared" si="30"/>
        <v>26000</v>
      </c>
      <c r="K218" s="193">
        <v>26000</v>
      </c>
      <c r="L218" s="193"/>
      <c r="M218" s="193"/>
      <c r="N218" s="30">
        <f>SUM(O218:W218)</f>
        <v>0</v>
      </c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2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2">
        <f>Y218+N218</f>
        <v>0</v>
      </c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198"/>
    </row>
    <row r="219" spans="1:59" s="199" customFormat="1" ht="75" x14ac:dyDescent="0.3">
      <c r="A219" s="156" t="str">
        <f t="shared" si="31"/>
        <v>п</v>
      </c>
      <c r="B219" s="157"/>
      <c r="C219" s="28"/>
      <c r="D219" s="236"/>
      <c r="E219" s="173"/>
      <c r="F219" s="236"/>
      <c r="G219" s="173"/>
      <c r="H219" s="173" t="s">
        <v>120</v>
      </c>
      <c r="I219" s="175" t="s">
        <v>221</v>
      </c>
      <c r="J219" s="177">
        <f t="shared" si="30"/>
        <v>6459968</v>
      </c>
      <c r="K219" s="177">
        <f>K220</f>
        <v>0</v>
      </c>
      <c r="L219" s="177">
        <f>L220</f>
        <v>6459968</v>
      </c>
      <c r="M219" s="177">
        <f>M220</f>
        <v>6459968</v>
      </c>
      <c r="N219" s="30">
        <f>SUM(O219:W219)</f>
        <v>0</v>
      </c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2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2">
        <f>Y219+N219</f>
        <v>0</v>
      </c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198"/>
    </row>
    <row r="220" spans="1:59" s="199" customFormat="1" ht="19.5" x14ac:dyDescent="0.3">
      <c r="A220" s="156" t="str">
        <f t="shared" si="31"/>
        <v>п</v>
      </c>
      <c r="B220" s="157" t="s">
        <v>178</v>
      </c>
      <c r="C220" s="28"/>
      <c r="D220" s="179" t="s">
        <v>29</v>
      </c>
      <c r="E220" s="179"/>
      <c r="F220" s="179"/>
      <c r="G220" s="181" t="s">
        <v>3</v>
      </c>
      <c r="H220" s="271"/>
      <c r="I220" s="183"/>
      <c r="J220" s="185">
        <f t="shared" si="30"/>
        <v>6459968</v>
      </c>
      <c r="K220" s="185">
        <f t="shared" ref="K220:M221" si="37">+K221</f>
        <v>0</v>
      </c>
      <c r="L220" s="185">
        <f t="shared" si="37"/>
        <v>6459968</v>
      </c>
      <c r="M220" s="185">
        <f t="shared" si="37"/>
        <v>6459968</v>
      </c>
      <c r="N220" s="30">
        <f>SUM(O220:W220)</f>
        <v>0</v>
      </c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32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32">
        <f>Y220+N220</f>
        <v>0</v>
      </c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198"/>
    </row>
    <row r="221" spans="1:59" s="199" customFormat="1" ht="19.5" x14ac:dyDescent="0.3">
      <c r="A221" s="156" t="str">
        <f t="shared" si="31"/>
        <v>п</v>
      </c>
      <c r="B221" s="157" t="s">
        <v>178</v>
      </c>
      <c r="C221" s="28"/>
      <c r="D221" s="179" t="s">
        <v>28</v>
      </c>
      <c r="E221" s="179"/>
      <c r="F221" s="179"/>
      <c r="G221" s="181" t="s">
        <v>3</v>
      </c>
      <c r="H221" s="247"/>
      <c r="I221" s="227"/>
      <c r="J221" s="252">
        <f t="shared" si="30"/>
        <v>6459968</v>
      </c>
      <c r="K221" s="252">
        <f t="shared" si="37"/>
        <v>0</v>
      </c>
      <c r="L221" s="272">
        <f t="shared" si="37"/>
        <v>6459968</v>
      </c>
      <c r="M221" s="272">
        <f t="shared" si="37"/>
        <v>6459968</v>
      </c>
      <c r="N221" s="30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32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32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198"/>
    </row>
    <row r="222" spans="1:59" s="199" customFormat="1" ht="38.25" thickBot="1" x14ac:dyDescent="0.35">
      <c r="A222" s="156" t="str">
        <f t="shared" si="31"/>
        <v>п</v>
      </c>
      <c r="B222" s="157" t="s">
        <v>178</v>
      </c>
      <c r="C222" s="28"/>
      <c r="D222" s="255" t="s">
        <v>73</v>
      </c>
      <c r="E222" s="253">
        <v>7670</v>
      </c>
      <c r="F222" s="255" t="s">
        <v>153</v>
      </c>
      <c r="G222" s="256" t="s">
        <v>75</v>
      </c>
      <c r="H222" s="254"/>
      <c r="I222" s="257"/>
      <c r="J222" s="258">
        <f t="shared" si="30"/>
        <v>6459968</v>
      </c>
      <c r="K222" s="258"/>
      <c r="L222" s="278">
        <f>5000000+1200000+1200000-1501032+561000</f>
        <v>6459968</v>
      </c>
      <c r="M222" s="278">
        <f>5000000+1200000+1200000-1501032+561000</f>
        <v>6459968</v>
      </c>
      <c r="N222" s="30">
        <f>SUM(O222:W222)</f>
        <v>0</v>
      </c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>
        <f>Y222+N222</f>
        <v>0</v>
      </c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198"/>
    </row>
    <row r="223" spans="1:59" s="197" customFormat="1" ht="138.75" customHeight="1" x14ac:dyDescent="0.3">
      <c r="A223" s="156" t="str">
        <f t="shared" si="31"/>
        <v>п</v>
      </c>
      <c r="B223" s="157"/>
      <c r="C223" s="28"/>
      <c r="D223" s="279"/>
      <c r="E223" s="275"/>
      <c r="F223" s="279"/>
      <c r="G223" s="280"/>
      <c r="H223" s="281" t="s">
        <v>85</v>
      </c>
      <c r="I223" s="282" t="s">
        <v>220</v>
      </c>
      <c r="J223" s="283">
        <f t="shared" si="30"/>
        <v>105750</v>
      </c>
      <c r="K223" s="284">
        <f>K224</f>
        <v>0</v>
      </c>
      <c r="L223" s="284">
        <f>L224</f>
        <v>105750</v>
      </c>
      <c r="M223" s="284">
        <f>M224</f>
        <v>105750</v>
      </c>
      <c r="N223" s="30">
        <f t="shared" ref="N223:N229" si="38">SUM(O223:W223)</f>
        <v>0</v>
      </c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2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2">
        <f t="shared" ref="AK223:AK229" si="39">Y223+N223</f>
        <v>0</v>
      </c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198"/>
    </row>
    <row r="224" spans="1:59" s="199" customFormat="1" ht="19.5" x14ac:dyDescent="0.3">
      <c r="A224" s="156" t="str">
        <f>IF(J224=0,"","п")</f>
        <v>п</v>
      </c>
      <c r="B224" s="157" t="s">
        <v>178</v>
      </c>
      <c r="C224" s="103"/>
      <c r="D224" s="179" t="s">
        <v>29</v>
      </c>
      <c r="E224" s="179"/>
      <c r="F224" s="179"/>
      <c r="G224" s="181" t="s">
        <v>3</v>
      </c>
      <c r="H224" s="202"/>
      <c r="I224" s="203"/>
      <c r="J224" s="204">
        <f t="shared" si="30"/>
        <v>105750</v>
      </c>
      <c r="K224" s="206">
        <f>+K225</f>
        <v>0</v>
      </c>
      <c r="L224" s="206">
        <f>+L225</f>
        <v>105750</v>
      </c>
      <c r="M224" s="206">
        <f>+M225</f>
        <v>105750</v>
      </c>
      <c r="N224" s="30">
        <f t="shared" si="38"/>
        <v>0</v>
      </c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32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32">
        <f t="shared" si="39"/>
        <v>0</v>
      </c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198"/>
    </row>
    <row r="225" spans="1:65" s="199" customFormat="1" ht="19.5" x14ac:dyDescent="0.3">
      <c r="A225" s="156" t="str">
        <f t="shared" si="31"/>
        <v>п</v>
      </c>
      <c r="B225" s="157" t="s">
        <v>178</v>
      </c>
      <c r="C225" s="103"/>
      <c r="D225" s="179" t="s">
        <v>28</v>
      </c>
      <c r="E225" s="179"/>
      <c r="F225" s="179"/>
      <c r="G225" s="181" t="s">
        <v>3</v>
      </c>
      <c r="H225" s="259"/>
      <c r="I225" s="260"/>
      <c r="J225" s="261">
        <f t="shared" si="30"/>
        <v>105750</v>
      </c>
      <c r="K225" s="269">
        <f>+K227+K226</f>
        <v>0</v>
      </c>
      <c r="L225" s="269">
        <f>+L227+L226</f>
        <v>105750</v>
      </c>
      <c r="M225" s="269">
        <f>+M227+M226</f>
        <v>105750</v>
      </c>
      <c r="N225" s="30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32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32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198"/>
    </row>
    <row r="226" spans="1:65" s="44" customFormat="1" ht="37.5" hidden="1" x14ac:dyDescent="0.25">
      <c r="A226" s="27" t="str">
        <f t="shared" si="31"/>
        <v/>
      </c>
      <c r="B226" s="28" t="s">
        <v>178</v>
      </c>
      <c r="C226" s="103"/>
      <c r="D226" s="372" t="s">
        <v>212</v>
      </c>
      <c r="E226" s="372" t="s">
        <v>213</v>
      </c>
      <c r="F226" s="372" t="s">
        <v>214</v>
      </c>
      <c r="G226" s="447" t="s">
        <v>215</v>
      </c>
      <c r="H226" s="190"/>
      <c r="I226" s="111"/>
      <c r="J226" s="129">
        <f t="shared" si="30"/>
        <v>0</v>
      </c>
      <c r="K226" s="37"/>
      <c r="L226" s="35"/>
      <c r="M226" s="35"/>
      <c r="N226" s="67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9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9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107"/>
      <c r="BH226" s="33"/>
      <c r="BI226" s="33"/>
      <c r="BJ226" s="33"/>
      <c r="BK226" s="33"/>
      <c r="BL226" s="33"/>
      <c r="BM226" s="33"/>
    </row>
    <row r="227" spans="1:65" s="197" customFormat="1" ht="19.5" thickBot="1" x14ac:dyDescent="0.35">
      <c r="A227" s="156" t="str">
        <f t="shared" si="31"/>
        <v>п</v>
      </c>
      <c r="B227" s="157" t="s">
        <v>178</v>
      </c>
      <c r="C227" s="28"/>
      <c r="D227" s="263" t="s">
        <v>77</v>
      </c>
      <c r="E227" s="255" t="s">
        <v>78</v>
      </c>
      <c r="F227" s="255" t="s">
        <v>156</v>
      </c>
      <c r="G227" s="256" t="s">
        <v>79</v>
      </c>
      <c r="H227" s="264"/>
      <c r="I227" s="257"/>
      <c r="J227" s="270">
        <f t="shared" si="30"/>
        <v>105750</v>
      </c>
      <c r="K227" s="258"/>
      <c r="L227" s="285">
        <v>105750</v>
      </c>
      <c r="M227" s="285">
        <v>105750</v>
      </c>
      <c r="N227" s="30">
        <f t="shared" si="38"/>
        <v>0</v>
      </c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2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2">
        <f t="shared" si="39"/>
        <v>0</v>
      </c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198"/>
    </row>
    <row r="228" spans="1:65" s="197" customFormat="1" ht="60" customHeight="1" x14ac:dyDescent="0.3">
      <c r="A228" s="156" t="str">
        <f t="shared" si="31"/>
        <v>п</v>
      </c>
      <c r="B228" s="157"/>
      <c r="C228" s="28"/>
      <c r="D228" s="172"/>
      <c r="E228" s="171"/>
      <c r="F228" s="172"/>
      <c r="G228" s="173"/>
      <c r="H228" s="174" t="s">
        <v>266</v>
      </c>
      <c r="I228" s="240" t="s">
        <v>287</v>
      </c>
      <c r="J228" s="176">
        <f>+K228+L228</f>
        <v>100743812.7</v>
      </c>
      <c r="K228" s="177">
        <f>+K229+K256+K269+K277+K265+K303</f>
        <v>8199566.8899999997</v>
      </c>
      <c r="L228" s="177">
        <f>+L229+L256+L269+L277+L265+L303</f>
        <v>92544245.810000002</v>
      </c>
      <c r="M228" s="177">
        <f>+M229+M256+M269+M277+M265+M303</f>
        <v>92544245.810000002</v>
      </c>
      <c r="N228" s="30">
        <f t="shared" si="38"/>
        <v>0</v>
      </c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2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  <c r="AJ228" s="31"/>
      <c r="AK228" s="32">
        <f t="shared" si="39"/>
        <v>0</v>
      </c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198"/>
    </row>
    <row r="229" spans="1:65" s="44" customFormat="1" ht="39.75" customHeight="1" x14ac:dyDescent="0.25">
      <c r="A229" s="27" t="str">
        <f t="shared" si="31"/>
        <v>п</v>
      </c>
      <c r="B229" s="28" t="s">
        <v>178</v>
      </c>
      <c r="C229" s="103"/>
      <c r="D229" s="179" t="s">
        <v>29</v>
      </c>
      <c r="E229" s="179"/>
      <c r="F229" s="179"/>
      <c r="G229" s="181" t="s">
        <v>3</v>
      </c>
      <c r="H229" s="202"/>
      <c r="I229" s="203"/>
      <c r="J229" s="204">
        <f t="shared" si="30"/>
        <v>422414</v>
      </c>
      <c r="K229" s="205">
        <f>+K230</f>
        <v>422414</v>
      </c>
      <c r="L229" s="205">
        <f>+L230</f>
        <v>0</v>
      </c>
      <c r="M229" s="205">
        <f>+M230</f>
        <v>0</v>
      </c>
      <c r="N229" s="30">
        <f t="shared" si="38"/>
        <v>0</v>
      </c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32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32">
        <f t="shared" si="39"/>
        <v>0</v>
      </c>
      <c r="BG229" s="107"/>
    </row>
    <row r="230" spans="1:65" s="44" customFormat="1" ht="39.75" customHeight="1" x14ac:dyDescent="0.25">
      <c r="A230" s="27" t="str">
        <f t="shared" si="31"/>
        <v>п</v>
      </c>
      <c r="B230" s="28" t="s">
        <v>178</v>
      </c>
      <c r="C230" s="103"/>
      <c r="D230" s="179" t="s">
        <v>28</v>
      </c>
      <c r="E230" s="179"/>
      <c r="F230" s="179"/>
      <c r="G230" s="181" t="s">
        <v>3</v>
      </c>
      <c r="H230" s="202"/>
      <c r="I230" s="203"/>
      <c r="J230" s="204">
        <f>+K230+L230</f>
        <v>422414</v>
      </c>
      <c r="K230" s="205">
        <f>SUM(K231:K255)-K237</f>
        <v>422414</v>
      </c>
      <c r="L230" s="205">
        <f>SUM(L231:L255)-L237</f>
        <v>0</v>
      </c>
      <c r="M230" s="205">
        <f>SUM(M231:M255)-M237</f>
        <v>0</v>
      </c>
      <c r="N230" s="30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32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32"/>
      <c r="BG230" s="107"/>
    </row>
    <row r="231" spans="1:65" s="33" customFormat="1" ht="76.5" hidden="1" customHeight="1" x14ac:dyDescent="0.25">
      <c r="A231" s="27" t="str">
        <f t="shared" si="31"/>
        <v/>
      </c>
      <c r="B231" s="28" t="s">
        <v>178</v>
      </c>
      <c r="C231" s="105"/>
      <c r="D231" s="369" t="s">
        <v>101</v>
      </c>
      <c r="E231" s="369" t="s">
        <v>102</v>
      </c>
      <c r="F231" s="188" t="s">
        <v>93</v>
      </c>
      <c r="G231" s="394" t="s">
        <v>103</v>
      </c>
      <c r="H231" s="265"/>
      <c r="I231" s="266"/>
      <c r="J231" s="267">
        <f t="shared" si="30"/>
        <v>0</v>
      </c>
      <c r="K231" s="268"/>
      <c r="L231" s="268"/>
      <c r="M231" s="268"/>
      <c r="N231" s="67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9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9"/>
      <c r="BG231" s="107"/>
    </row>
    <row r="232" spans="1:65" s="33" customFormat="1" ht="40.5" hidden="1" customHeight="1" x14ac:dyDescent="0.25">
      <c r="A232" s="27" t="str">
        <f t="shared" si="31"/>
        <v/>
      </c>
      <c r="B232" s="28" t="s">
        <v>178</v>
      </c>
      <c r="C232" s="105"/>
      <c r="D232" s="369" t="s">
        <v>44</v>
      </c>
      <c r="E232" s="369" t="s">
        <v>172</v>
      </c>
      <c r="F232" s="188" t="s">
        <v>161</v>
      </c>
      <c r="G232" s="394" t="s">
        <v>170</v>
      </c>
      <c r="H232" s="265"/>
      <c r="I232" s="123"/>
      <c r="J232" s="136">
        <f t="shared" si="30"/>
        <v>0</v>
      </c>
      <c r="K232" s="49"/>
      <c r="L232" s="49"/>
      <c r="M232" s="49"/>
      <c r="N232" s="67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9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9"/>
      <c r="BG232" s="107"/>
    </row>
    <row r="233" spans="1:65" s="33" customFormat="1" ht="23.25" hidden="1" customHeight="1" x14ac:dyDescent="0.25">
      <c r="A233" s="27" t="str">
        <f t="shared" si="31"/>
        <v/>
      </c>
      <c r="B233" s="28" t="s">
        <v>178</v>
      </c>
      <c r="C233" s="105"/>
      <c r="D233" s="369" t="s">
        <v>110</v>
      </c>
      <c r="E233" s="369" t="s">
        <v>111</v>
      </c>
      <c r="F233" s="188" t="s">
        <v>112</v>
      </c>
      <c r="G233" s="394" t="s">
        <v>113</v>
      </c>
      <c r="H233" s="265"/>
      <c r="I233" s="123"/>
      <c r="J233" s="136">
        <f t="shared" si="30"/>
        <v>0</v>
      </c>
      <c r="K233" s="49"/>
      <c r="L233" s="49"/>
      <c r="M233" s="49"/>
      <c r="N233" s="67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9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9"/>
      <c r="BG233" s="107"/>
    </row>
    <row r="234" spans="1:65" s="33" customFormat="1" ht="61.5" hidden="1" customHeight="1" x14ac:dyDescent="0.25">
      <c r="A234" s="27" t="str">
        <f t="shared" si="31"/>
        <v/>
      </c>
      <c r="B234" s="28" t="s">
        <v>178</v>
      </c>
      <c r="C234" s="103"/>
      <c r="D234" s="212" t="s">
        <v>41</v>
      </c>
      <c r="E234" s="187" t="s">
        <v>42</v>
      </c>
      <c r="F234" s="188" t="s">
        <v>87</v>
      </c>
      <c r="G234" s="189" t="s">
        <v>43</v>
      </c>
      <c r="H234" s="190"/>
      <c r="I234" s="111"/>
      <c r="J234" s="129">
        <f t="shared" si="30"/>
        <v>0</v>
      </c>
      <c r="K234" s="37"/>
      <c r="L234" s="37"/>
      <c r="M234" s="37"/>
      <c r="N234" s="67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9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9"/>
      <c r="BG234" s="107"/>
    </row>
    <row r="235" spans="1:65" s="33" customFormat="1" ht="21" hidden="1" customHeight="1" x14ac:dyDescent="0.25">
      <c r="A235" s="27" t="str">
        <f t="shared" si="31"/>
        <v/>
      </c>
      <c r="B235" s="28" t="s">
        <v>178</v>
      </c>
      <c r="C235" s="103"/>
      <c r="D235" s="212"/>
      <c r="E235" s="187"/>
      <c r="F235" s="188"/>
      <c r="G235" s="189"/>
      <c r="H235" s="216"/>
      <c r="I235" s="111"/>
      <c r="J235" s="37">
        <f t="shared" si="30"/>
        <v>0</v>
      </c>
      <c r="K235" s="37"/>
      <c r="L235" s="37"/>
      <c r="M235" s="37"/>
      <c r="N235" s="67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9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9"/>
      <c r="BG235" s="107"/>
    </row>
    <row r="236" spans="1:65" s="33" customFormat="1" ht="76.5" hidden="1" customHeight="1" x14ac:dyDescent="0.25">
      <c r="A236" s="27" t="str">
        <f t="shared" si="31"/>
        <v/>
      </c>
      <c r="B236" s="28" t="s">
        <v>178</v>
      </c>
      <c r="C236" s="103"/>
      <c r="D236" s="212" t="s">
        <v>47</v>
      </c>
      <c r="E236" s="187" t="s">
        <v>48</v>
      </c>
      <c r="F236" s="188" t="s">
        <v>152</v>
      </c>
      <c r="G236" s="189" t="s">
        <v>49</v>
      </c>
      <c r="H236" s="190"/>
      <c r="I236" s="111"/>
      <c r="J236" s="129">
        <f t="shared" si="30"/>
        <v>0</v>
      </c>
      <c r="K236" s="37"/>
      <c r="L236" s="41"/>
      <c r="M236" s="41"/>
      <c r="N236" s="67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9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9"/>
      <c r="BG236" s="107"/>
    </row>
    <row r="237" spans="1:65" s="87" customFormat="1" ht="39" hidden="1" customHeight="1" x14ac:dyDescent="0.3">
      <c r="A237" s="27" t="str">
        <f t="shared" si="31"/>
        <v/>
      </c>
      <c r="B237" s="101" t="s">
        <v>178</v>
      </c>
      <c r="C237" s="104"/>
      <c r="D237" s="468"/>
      <c r="E237" s="217"/>
      <c r="F237" s="218"/>
      <c r="G237" s="219" t="s">
        <v>22</v>
      </c>
      <c r="H237" s="286"/>
      <c r="I237" s="125"/>
      <c r="J237" s="130">
        <f t="shared" si="30"/>
        <v>0</v>
      </c>
      <c r="K237" s="34"/>
      <c r="L237" s="91"/>
      <c r="M237" s="91"/>
      <c r="N237" s="106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8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8"/>
      <c r="BG237" s="107"/>
    </row>
    <row r="238" spans="1:65" s="33" customFormat="1" ht="18" hidden="1" customHeight="1" x14ac:dyDescent="0.25">
      <c r="A238" s="27" t="str">
        <f t="shared" si="31"/>
        <v/>
      </c>
      <c r="B238" s="28" t="s">
        <v>178</v>
      </c>
      <c r="C238" s="103"/>
      <c r="D238" s="212" t="s">
        <v>106</v>
      </c>
      <c r="E238" s="187" t="s">
        <v>107</v>
      </c>
      <c r="F238" s="188" t="s">
        <v>108</v>
      </c>
      <c r="G238" s="189" t="s">
        <v>109</v>
      </c>
      <c r="H238" s="216"/>
      <c r="I238" s="111"/>
      <c r="J238" s="37">
        <f t="shared" si="30"/>
        <v>0</v>
      </c>
      <c r="K238" s="37"/>
      <c r="L238" s="37"/>
      <c r="M238" s="37"/>
      <c r="N238" s="30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2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2"/>
      <c r="BG238" s="107"/>
    </row>
    <row r="239" spans="1:65" s="33" customFormat="1" ht="21" hidden="1" customHeight="1" x14ac:dyDescent="0.25">
      <c r="A239" s="27" t="str">
        <f t="shared" si="31"/>
        <v/>
      </c>
      <c r="B239" s="28" t="s">
        <v>178</v>
      </c>
      <c r="C239" s="103"/>
      <c r="D239" s="212" t="s">
        <v>88</v>
      </c>
      <c r="E239" s="187" t="s">
        <v>89</v>
      </c>
      <c r="F239" s="188" t="s">
        <v>154</v>
      </c>
      <c r="G239" s="189" t="s">
        <v>90</v>
      </c>
      <c r="H239" s="190"/>
      <c r="I239" s="111"/>
      <c r="J239" s="129">
        <f t="shared" ref="J239:J273" si="40">+K239+L239</f>
        <v>0</v>
      </c>
      <c r="K239" s="37"/>
      <c r="L239" s="37"/>
      <c r="M239" s="37"/>
      <c r="N239" s="67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9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9"/>
      <c r="BG239" s="107"/>
    </row>
    <row r="240" spans="1:65" s="33" customFormat="1" ht="21" hidden="1" customHeight="1" x14ac:dyDescent="0.25">
      <c r="A240" s="27" t="str">
        <f t="shared" si="31"/>
        <v/>
      </c>
      <c r="B240" s="28" t="s">
        <v>178</v>
      </c>
      <c r="C240" s="103"/>
      <c r="D240" s="212"/>
      <c r="E240" s="187"/>
      <c r="F240" s="188"/>
      <c r="G240" s="189"/>
      <c r="H240" s="216"/>
      <c r="I240" s="111"/>
      <c r="J240" s="37">
        <f t="shared" si="40"/>
        <v>0</v>
      </c>
      <c r="K240" s="37"/>
      <c r="L240" s="37"/>
      <c r="M240" s="37"/>
      <c r="N240" s="67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9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9"/>
      <c r="BG240" s="107"/>
    </row>
    <row r="241" spans="1:59" s="33" customFormat="1" ht="18.75" hidden="1" x14ac:dyDescent="0.25">
      <c r="A241" s="27" t="str">
        <f t="shared" si="31"/>
        <v/>
      </c>
      <c r="B241" s="28" t="s">
        <v>178</v>
      </c>
      <c r="C241" s="103"/>
      <c r="D241" s="212"/>
      <c r="E241" s="188"/>
      <c r="F241" s="188"/>
      <c r="G241" s="189"/>
      <c r="H241" s="216"/>
      <c r="I241" s="111"/>
      <c r="J241" s="37">
        <f t="shared" si="40"/>
        <v>0</v>
      </c>
      <c r="K241" s="37"/>
      <c r="L241" s="37"/>
      <c r="M241" s="37"/>
      <c r="N241" s="30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2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2"/>
      <c r="BG241" s="107"/>
    </row>
    <row r="242" spans="1:59" s="33" customFormat="1" ht="19.5" hidden="1" customHeight="1" x14ac:dyDescent="0.25">
      <c r="A242" s="27" t="str">
        <f t="shared" si="31"/>
        <v/>
      </c>
      <c r="B242" s="28" t="s">
        <v>178</v>
      </c>
      <c r="C242" s="103"/>
      <c r="D242" s="212" t="s">
        <v>226</v>
      </c>
      <c r="E242" s="187" t="s">
        <v>227</v>
      </c>
      <c r="F242" s="188" t="s">
        <v>214</v>
      </c>
      <c r="G242" s="189" t="s">
        <v>228</v>
      </c>
      <c r="H242" s="216"/>
      <c r="I242" s="111"/>
      <c r="J242" s="37">
        <f t="shared" si="40"/>
        <v>0</v>
      </c>
      <c r="K242" s="37"/>
      <c r="L242" s="37"/>
      <c r="M242" s="37"/>
      <c r="N242" s="67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9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9"/>
      <c r="BG242" s="107"/>
    </row>
    <row r="243" spans="1:59" s="33" customFormat="1" ht="18" hidden="1" customHeight="1" x14ac:dyDescent="0.25">
      <c r="A243" s="27" t="str">
        <f t="shared" si="31"/>
        <v/>
      </c>
      <c r="B243" s="28" t="s">
        <v>178</v>
      </c>
      <c r="C243" s="103"/>
      <c r="D243" s="212"/>
      <c r="E243" s="187"/>
      <c r="F243" s="188"/>
      <c r="G243" s="189"/>
      <c r="H243" s="216"/>
      <c r="I243" s="111"/>
      <c r="J243" s="37">
        <f t="shared" si="40"/>
        <v>0</v>
      </c>
      <c r="K243" s="37">
        <f>+K244</f>
        <v>0</v>
      </c>
      <c r="L243" s="37">
        <f>+L244</f>
        <v>0</v>
      </c>
      <c r="M243" s="37">
        <f>+M244</f>
        <v>0</v>
      </c>
      <c r="N243" s="30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2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2"/>
      <c r="BG243" s="107"/>
    </row>
    <row r="244" spans="1:59" s="33" customFormat="1" ht="18.75" hidden="1" x14ac:dyDescent="0.25">
      <c r="A244" s="27" t="str">
        <f t="shared" si="31"/>
        <v/>
      </c>
      <c r="B244" s="28" t="s">
        <v>178</v>
      </c>
      <c r="C244" s="103"/>
      <c r="D244" s="212"/>
      <c r="E244" s="187"/>
      <c r="F244" s="188"/>
      <c r="G244" s="189"/>
      <c r="H244" s="216"/>
      <c r="I244" s="111"/>
      <c r="J244" s="37">
        <f t="shared" si="40"/>
        <v>0</v>
      </c>
      <c r="K244" s="37"/>
      <c r="L244" s="37"/>
      <c r="M244" s="37"/>
      <c r="N244" s="30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2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2"/>
      <c r="BG244" s="107"/>
    </row>
    <row r="245" spans="1:59" s="33" customFormat="1" ht="18.75" hidden="1" customHeight="1" x14ac:dyDescent="0.25">
      <c r="A245" s="27" t="str">
        <f t="shared" ref="A245:A307" si="41">IF(J245=0,"","п")</f>
        <v/>
      </c>
      <c r="B245" s="101" t="s">
        <v>178</v>
      </c>
      <c r="C245" s="104"/>
      <c r="D245" s="468"/>
      <c r="E245" s="217"/>
      <c r="F245" s="218"/>
      <c r="G245" s="241"/>
      <c r="H245" s="220"/>
      <c r="I245" s="125"/>
      <c r="J245" s="34">
        <f t="shared" si="40"/>
        <v>0</v>
      </c>
      <c r="K245" s="34"/>
      <c r="L245" s="34"/>
      <c r="M245" s="34"/>
      <c r="N245" s="67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9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9"/>
      <c r="BG245" s="107"/>
    </row>
    <row r="246" spans="1:59" s="33" customFormat="1" ht="18.75" hidden="1" x14ac:dyDescent="0.25">
      <c r="A246" s="27" t="str">
        <f t="shared" si="41"/>
        <v/>
      </c>
      <c r="B246" s="28" t="s">
        <v>178</v>
      </c>
      <c r="C246" s="103"/>
      <c r="D246" s="212"/>
      <c r="E246" s="275"/>
      <c r="F246" s="279"/>
      <c r="G246" s="394"/>
      <c r="H246" s="216"/>
      <c r="I246" s="111"/>
      <c r="J246" s="37">
        <f t="shared" si="40"/>
        <v>0</v>
      </c>
      <c r="K246" s="37"/>
      <c r="L246" s="37"/>
      <c r="M246" s="37"/>
      <c r="N246" s="30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2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2"/>
      <c r="BG246" s="107"/>
    </row>
    <row r="247" spans="1:59" s="33" customFormat="1" ht="18.75" hidden="1" x14ac:dyDescent="0.25">
      <c r="A247" s="27" t="str">
        <f t="shared" si="41"/>
        <v/>
      </c>
      <c r="B247" s="28" t="s">
        <v>178</v>
      </c>
      <c r="C247" s="103"/>
      <c r="D247" s="212"/>
      <c r="E247" s="275"/>
      <c r="F247" s="188"/>
      <c r="G247" s="394"/>
      <c r="H247" s="216"/>
      <c r="I247" s="111"/>
      <c r="J247" s="37">
        <f t="shared" si="40"/>
        <v>0</v>
      </c>
      <c r="K247" s="37"/>
      <c r="L247" s="37">
        <f>147000-147000</f>
        <v>0</v>
      </c>
      <c r="M247" s="37">
        <f>147000-147000</f>
        <v>0</v>
      </c>
      <c r="N247" s="30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2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2"/>
      <c r="BG247" s="107"/>
    </row>
    <row r="248" spans="1:59" s="33" customFormat="1" ht="18.75" hidden="1" x14ac:dyDescent="0.25">
      <c r="A248" s="27" t="str">
        <f t="shared" si="41"/>
        <v/>
      </c>
      <c r="B248" s="28" t="s">
        <v>178</v>
      </c>
      <c r="C248" s="103"/>
      <c r="D248" s="212"/>
      <c r="E248" s="187"/>
      <c r="F248" s="188"/>
      <c r="G248" s="189"/>
      <c r="H248" s="216"/>
      <c r="I248" s="111"/>
      <c r="J248" s="37">
        <f t="shared" si="40"/>
        <v>0</v>
      </c>
      <c r="K248" s="37"/>
      <c r="L248" s="37"/>
      <c r="M248" s="37"/>
      <c r="N248" s="30">
        <f>SUM(O248:W248)</f>
        <v>0</v>
      </c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2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2">
        <f>Y248+N248</f>
        <v>0</v>
      </c>
      <c r="BG248" s="107"/>
    </row>
    <row r="249" spans="1:59" s="33" customFormat="1" ht="18" hidden="1" customHeight="1" x14ac:dyDescent="0.25">
      <c r="A249" s="27" t="str">
        <f t="shared" si="41"/>
        <v/>
      </c>
      <c r="B249" s="28" t="s">
        <v>178</v>
      </c>
      <c r="C249" s="103"/>
      <c r="D249" s="212"/>
      <c r="E249" s="370"/>
      <c r="F249" s="279"/>
      <c r="G249" s="394"/>
      <c r="H249" s="216"/>
      <c r="I249" s="111"/>
      <c r="J249" s="37">
        <f t="shared" si="40"/>
        <v>0</v>
      </c>
      <c r="K249" s="37"/>
      <c r="L249" s="37"/>
      <c r="M249" s="37"/>
      <c r="N249" s="30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2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2"/>
      <c r="BG249" s="107"/>
    </row>
    <row r="250" spans="1:59" s="87" customFormat="1" ht="20.25" hidden="1" customHeight="1" x14ac:dyDescent="0.3">
      <c r="A250" s="27" t="str">
        <f t="shared" si="41"/>
        <v/>
      </c>
      <c r="B250" s="101" t="s">
        <v>178</v>
      </c>
      <c r="C250" s="104"/>
      <c r="D250" s="468"/>
      <c r="E250" s="217"/>
      <c r="F250" s="218"/>
      <c r="G250" s="241"/>
      <c r="H250" s="220"/>
      <c r="I250" s="125"/>
      <c r="J250" s="34">
        <f t="shared" si="40"/>
        <v>0</v>
      </c>
      <c r="K250" s="34"/>
      <c r="L250" s="34"/>
      <c r="M250" s="34"/>
      <c r="N250" s="84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6"/>
      <c r="Z250" s="88"/>
      <c r="AA250" s="88"/>
      <c r="AB250" s="88"/>
      <c r="AC250" s="88"/>
      <c r="AD250" s="88"/>
      <c r="AE250" s="88"/>
      <c r="AF250" s="88"/>
      <c r="AG250" s="88"/>
      <c r="AH250" s="88"/>
      <c r="AI250" s="88"/>
      <c r="AJ250" s="88"/>
      <c r="AK250" s="86"/>
      <c r="BG250" s="107"/>
    </row>
    <row r="251" spans="1:59" s="87" customFormat="1" ht="20.25" hidden="1" customHeight="1" x14ac:dyDescent="0.3">
      <c r="A251" s="27" t="str">
        <f t="shared" si="41"/>
        <v/>
      </c>
      <c r="B251" s="28" t="s">
        <v>178</v>
      </c>
      <c r="C251" s="104"/>
      <c r="D251" s="188"/>
      <c r="E251" s="216"/>
      <c r="F251" s="188"/>
      <c r="G251" s="189"/>
      <c r="H251" s="216"/>
      <c r="I251" s="111"/>
      <c r="J251" s="37">
        <f t="shared" si="40"/>
        <v>0</v>
      </c>
      <c r="K251" s="37"/>
      <c r="L251" s="37"/>
      <c r="M251" s="37"/>
      <c r="N251" s="84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6"/>
      <c r="Z251" s="88"/>
      <c r="AA251" s="88"/>
      <c r="AB251" s="88"/>
      <c r="AC251" s="88"/>
      <c r="AD251" s="88"/>
      <c r="AE251" s="88"/>
      <c r="AF251" s="88"/>
      <c r="AG251" s="88"/>
      <c r="AH251" s="88"/>
      <c r="AI251" s="88"/>
      <c r="AJ251" s="88"/>
      <c r="AK251" s="86"/>
      <c r="BG251" s="107"/>
    </row>
    <row r="252" spans="1:59" s="33" customFormat="1" ht="58.5" hidden="1" customHeight="1" x14ac:dyDescent="0.25">
      <c r="A252" s="27" t="str">
        <f t="shared" si="41"/>
        <v/>
      </c>
      <c r="B252" s="28" t="s">
        <v>178</v>
      </c>
      <c r="C252" s="103"/>
      <c r="D252" s="212"/>
      <c r="E252" s="216"/>
      <c r="F252" s="188"/>
      <c r="G252" s="189"/>
      <c r="H252" s="216"/>
      <c r="I252" s="111"/>
      <c r="J252" s="37">
        <f t="shared" si="40"/>
        <v>0</v>
      </c>
      <c r="K252" s="37"/>
      <c r="L252" s="37"/>
      <c r="M252" s="37"/>
      <c r="N252" s="30">
        <f>SUM(O252:W252)</f>
        <v>0</v>
      </c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2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2">
        <f>Y252+N252</f>
        <v>0</v>
      </c>
      <c r="BG252" s="107"/>
    </row>
    <row r="253" spans="1:59" s="33" customFormat="1" ht="21" customHeight="1" x14ac:dyDescent="0.25">
      <c r="A253" s="27" t="str">
        <f t="shared" si="41"/>
        <v>п</v>
      </c>
      <c r="B253" s="28" t="s">
        <v>178</v>
      </c>
      <c r="C253" s="103"/>
      <c r="D253" s="212" t="s">
        <v>77</v>
      </c>
      <c r="E253" s="187">
        <v>9770</v>
      </c>
      <c r="F253" s="188" t="s">
        <v>156</v>
      </c>
      <c r="G253" s="189" t="s">
        <v>79</v>
      </c>
      <c r="H253" s="216"/>
      <c r="I253" s="191"/>
      <c r="J253" s="193">
        <f t="shared" si="40"/>
        <v>100000</v>
      </c>
      <c r="K253" s="193">
        <v>100000</v>
      </c>
      <c r="L253" s="193"/>
      <c r="M253" s="193"/>
      <c r="N253" s="30">
        <f>SUM(O253:W253)</f>
        <v>0</v>
      </c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2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2">
        <f>Y253+N253</f>
        <v>0</v>
      </c>
      <c r="BG253" s="107"/>
    </row>
    <row r="254" spans="1:59" s="33" customFormat="1" ht="56.25" x14ac:dyDescent="0.25">
      <c r="A254" s="27" t="str">
        <f t="shared" si="41"/>
        <v>п</v>
      </c>
      <c r="B254" s="28" t="s">
        <v>178</v>
      </c>
      <c r="C254" s="103"/>
      <c r="D254" s="369" t="s">
        <v>98</v>
      </c>
      <c r="E254" s="275" t="s">
        <v>99</v>
      </c>
      <c r="F254" s="279" t="s">
        <v>156</v>
      </c>
      <c r="G254" s="394" t="s">
        <v>100</v>
      </c>
      <c r="H254" s="265"/>
      <c r="I254" s="123"/>
      <c r="J254" s="267">
        <f t="shared" si="40"/>
        <v>322414</v>
      </c>
      <c r="K254" s="268">
        <v>322414</v>
      </c>
      <c r="L254" s="268"/>
      <c r="M254" s="268"/>
      <c r="N254" s="30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2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2"/>
      <c r="BG254" s="107"/>
    </row>
    <row r="255" spans="1:59" s="33" customFormat="1" ht="18.75" hidden="1" x14ac:dyDescent="0.25">
      <c r="A255" s="27" t="str">
        <f t="shared" si="41"/>
        <v/>
      </c>
      <c r="B255" s="28" t="s">
        <v>178</v>
      </c>
      <c r="C255" s="103"/>
      <c r="D255" s="212"/>
      <c r="E255" s="275"/>
      <c r="F255" s="279"/>
      <c r="G255" s="394"/>
      <c r="H255" s="275"/>
      <c r="I255" s="123"/>
      <c r="J255" s="49">
        <f t="shared" si="40"/>
        <v>0</v>
      </c>
      <c r="K255" s="49"/>
      <c r="L255" s="49"/>
      <c r="M255" s="49"/>
      <c r="N255" s="30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2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2"/>
      <c r="BG255" s="107"/>
    </row>
    <row r="256" spans="1:59" s="44" customFormat="1" ht="36.75" hidden="1" customHeight="1" x14ac:dyDescent="0.25">
      <c r="A256" s="27" t="str">
        <f t="shared" si="41"/>
        <v/>
      </c>
      <c r="B256" s="28" t="s">
        <v>180</v>
      </c>
      <c r="C256" s="28"/>
      <c r="D256" s="179" t="s">
        <v>55</v>
      </c>
      <c r="E256" s="180"/>
      <c r="F256" s="180"/>
      <c r="G256" s="181" t="s">
        <v>2</v>
      </c>
      <c r="H256" s="202"/>
      <c r="I256" s="140"/>
      <c r="J256" s="131">
        <f t="shared" si="40"/>
        <v>0</v>
      </c>
      <c r="K256" s="60">
        <f>+K257</f>
        <v>0</v>
      </c>
      <c r="L256" s="60">
        <f>+L257</f>
        <v>0</v>
      </c>
      <c r="M256" s="60">
        <f>+M257</f>
        <v>0</v>
      </c>
      <c r="N256" s="30">
        <f>SUM(O256:W256)</f>
        <v>0</v>
      </c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32"/>
      <c r="Z256" s="63"/>
      <c r="AA256" s="63"/>
      <c r="AB256" s="63"/>
      <c r="AC256" s="63"/>
      <c r="AD256" s="63"/>
      <c r="AE256" s="63"/>
      <c r="AF256" s="63"/>
      <c r="AG256" s="63"/>
      <c r="AH256" s="63"/>
      <c r="AI256" s="63"/>
      <c r="AJ256" s="63"/>
      <c r="AK256" s="32">
        <f>Y256+N256</f>
        <v>0</v>
      </c>
      <c r="BG256" s="107"/>
    </row>
    <row r="257" spans="1:59" s="44" customFormat="1" ht="36.75" hidden="1" customHeight="1" x14ac:dyDescent="0.25">
      <c r="A257" s="27" t="str">
        <f t="shared" si="41"/>
        <v/>
      </c>
      <c r="B257" s="28" t="s">
        <v>180</v>
      </c>
      <c r="C257" s="28"/>
      <c r="D257" s="179" t="s">
        <v>56</v>
      </c>
      <c r="E257" s="180"/>
      <c r="F257" s="180"/>
      <c r="G257" s="181" t="s">
        <v>2</v>
      </c>
      <c r="H257" s="202"/>
      <c r="I257" s="140"/>
      <c r="J257" s="131">
        <f t="shared" si="40"/>
        <v>0</v>
      </c>
      <c r="K257" s="60">
        <f>SUM(K258:K264)-K261-K259</f>
        <v>0</v>
      </c>
      <c r="L257" s="60">
        <f>SUM(L258:L264)-L261-L259</f>
        <v>0</v>
      </c>
      <c r="M257" s="60">
        <f>SUM(M258:M264)-M261-M259</f>
        <v>0</v>
      </c>
      <c r="N257" s="30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32"/>
      <c r="Z257" s="63"/>
      <c r="AA257" s="63"/>
      <c r="AB257" s="63"/>
      <c r="AC257" s="63"/>
      <c r="AD257" s="63"/>
      <c r="AE257" s="63"/>
      <c r="AF257" s="63"/>
      <c r="AG257" s="63"/>
      <c r="AH257" s="63"/>
      <c r="AI257" s="63"/>
      <c r="AJ257" s="63"/>
      <c r="AK257" s="32"/>
      <c r="BG257" s="107"/>
    </row>
    <row r="258" spans="1:59" s="33" customFormat="1" ht="60.75" hidden="1" customHeight="1" x14ac:dyDescent="0.25">
      <c r="A258" s="27" t="str">
        <f t="shared" si="41"/>
        <v/>
      </c>
      <c r="B258" s="28" t="s">
        <v>180</v>
      </c>
      <c r="C258" s="28"/>
      <c r="D258" s="212" t="s">
        <v>135</v>
      </c>
      <c r="E258" s="188" t="s">
        <v>92</v>
      </c>
      <c r="F258" s="188" t="s">
        <v>93</v>
      </c>
      <c r="G258" s="394" t="s">
        <v>94</v>
      </c>
      <c r="H258" s="190" t="s">
        <v>148</v>
      </c>
      <c r="I258" s="111"/>
      <c r="J258" s="129">
        <f t="shared" si="40"/>
        <v>0</v>
      </c>
      <c r="K258" s="37"/>
      <c r="L258" s="35"/>
      <c r="M258" s="35"/>
      <c r="N258" s="30">
        <f>SUM(O258:W258)</f>
        <v>0</v>
      </c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2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2">
        <f>Y258+N258</f>
        <v>0</v>
      </c>
      <c r="BG258" s="107"/>
    </row>
    <row r="259" spans="1:59" s="33" customFormat="1" ht="42" hidden="1" customHeight="1" x14ac:dyDescent="0.25">
      <c r="A259" s="27" t="str">
        <f t="shared" si="41"/>
        <v/>
      </c>
      <c r="B259" s="101" t="s">
        <v>180</v>
      </c>
      <c r="C259" s="104"/>
      <c r="D259" s="468"/>
      <c r="E259" s="217"/>
      <c r="F259" s="218"/>
      <c r="G259" s="219" t="s">
        <v>22</v>
      </c>
      <c r="H259" s="286"/>
      <c r="I259" s="125"/>
      <c r="J259" s="130">
        <f t="shared" si="40"/>
        <v>0</v>
      </c>
      <c r="K259" s="34"/>
      <c r="L259" s="34"/>
      <c r="M259" s="34"/>
      <c r="N259" s="67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9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9"/>
      <c r="BG259" s="107"/>
    </row>
    <row r="260" spans="1:59" s="33" customFormat="1" ht="99" hidden="1" customHeight="1" x14ac:dyDescent="0.25">
      <c r="A260" s="27" t="str">
        <f t="shared" si="41"/>
        <v/>
      </c>
      <c r="B260" s="28" t="s">
        <v>180</v>
      </c>
      <c r="C260" s="28"/>
      <c r="D260" s="212" t="s">
        <v>276</v>
      </c>
      <c r="E260" s="187" t="s">
        <v>277</v>
      </c>
      <c r="F260" s="188" t="s">
        <v>158</v>
      </c>
      <c r="G260" s="189" t="s">
        <v>278</v>
      </c>
      <c r="H260" s="190" t="s">
        <v>148</v>
      </c>
      <c r="I260" s="111"/>
      <c r="J260" s="129">
        <f t="shared" si="40"/>
        <v>0</v>
      </c>
      <c r="K260" s="37"/>
      <c r="L260" s="35"/>
      <c r="M260" s="35"/>
      <c r="N260" s="30">
        <f>SUM(O260:W260)</f>
        <v>0</v>
      </c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2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2">
        <f>Y260+N260</f>
        <v>0</v>
      </c>
      <c r="BG260" s="107"/>
    </row>
    <row r="261" spans="1:59" s="33" customFormat="1" ht="42" hidden="1" customHeight="1" x14ac:dyDescent="0.25">
      <c r="A261" s="27" t="str">
        <f t="shared" si="41"/>
        <v/>
      </c>
      <c r="B261" s="101" t="s">
        <v>180</v>
      </c>
      <c r="C261" s="104"/>
      <c r="D261" s="468"/>
      <c r="E261" s="217"/>
      <c r="F261" s="218"/>
      <c r="G261" s="219" t="s">
        <v>22</v>
      </c>
      <c r="H261" s="286"/>
      <c r="I261" s="125"/>
      <c r="J261" s="130">
        <f t="shared" si="40"/>
        <v>0</v>
      </c>
      <c r="K261" s="34"/>
      <c r="L261" s="34"/>
      <c r="M261" s="34"/>
      <c r="N261" s="67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9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9"/>
      <c r="BG261" s="107"/>
    </row>
    <row r="262" spans="1:59" s="33" customFormat="1" ht="19.5" hidden="1" customHeight="1" x14ac:dyDescent="0.25">
      <c r="A262" s="27" t="str">
        <f t="shared" si="41"/>
        <v/>
      </c>
      <c r="B262" s="28" t="s">
        <v>180</v>
      </c>
      <c r="C262" s="104"/>
      <c r="D262" s="212"/>
      <c r="E262" s="187"/>
      <c r="F262" s="188"/>
      <c r="G262" s="189"/>
      <c r="H262" s="220"/>
      <c r="I262" s="125"/>
      <c r="J262" s="34">
        <f t="shared" si="40"/>
        <v>0</v>
      </c>
      <c r="K262" s="34"/>
      <c r="L262" s="34"/>
      <c r="M262" s="34"/>
      <c r="N262" s="67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9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9"/>
      <c r="BG262" s="107"/>
    </row>
    <row r="263" spans="1:59" s="33" customFormat="1" ht="41.25" hidden="1" customHeight="1" x14ac:dyDescent="0.25">
      <c r="A263" s="27" t="str">
        <f t="shared" si="41"/>
        <v/>
      </c>
      <c r="B263" s="28" t="s">
        <v>180</v>
      </c>
      <c r="C263" s="28"/>
      <c r="D263" s="212"/>
      <c r="E263" s="187"/>
      <c r="F263" s="188"/>
      <c r="G263" s="189"/>
      <c r="H263" s="216"/>
      <c r="I263" s="111"/>
      <c r="J263" s="37">
        <f t="shared" si="40"/>
        <v>0</v>
      </c>
      <c r="K263" s="37"/>
      <c r="L263" s="35"/>
      <c r="M263" s="35"/>
      <c r="N263" s="30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2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2"/>
      <c r="BG263" s="107"/>
    </row>
    <row r="264" spans="1:59" s="33" customFormat="1" ht="18.75" hidden="1" x14ac:dyDescent="0.25">
      <c r="A264" s="27" t="str">
        <f t="shared" si="41"/>
        <v/>
      </c>
      <c r="B264" s="28" t="s">
        <v>180</v>
      </c>
      <c r="C264" s="28"/>
      <c r="D264" s="188"/>
      <c r="E264" s="188"/>
      <c r="F264" s="188"/>
      <c r="G264" s="189"/>
      <c r="H264" s="216"/>
      <c r="I264" s="111"/>
      <c r="J264" s="37">
        <f t="shared" si="40"/>
        <v>0</v>
      </c>
      <c r="K264" s="37"/>
      <c r="L264" s="35"/>
      <c r="M264" s="35"/>
      <c r="N264" s="30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2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2"/>
      <c r="BG264" s="107"/>
    </row>
    <row r="265" spans="1:59" s="44" customFormat="1" ht="39" hidden="1" x14ac:dyDescent="0.25">
      <c r="A265" s="156" t="str">
        <f t="shared" si="41"/>
        <v/>
      </c>
      <c r="B265" s="28" t="s">
        <v>179</v>
      </c>
      <c r="C265" s="28"/>
      <c r="D265" s="200" t="s">
        <v>30</v>
      </c>
      <c r="E265" s="200"/>
      <c r="F265" s="200"/>
      <c r="G265" s="201" t="s">
        <v>18</v>
      </c>
      <c r="H265" s="271"/>
      <c r="I265" s="183"/>
      <c r="J265" s="185">
        <f t="shared" si="40"/>
        <v>0</v>
      </c>
      <c r="K265" s="185">
        <f>+K266</f>
        <v>0</v>
      </c>
      <c r="L265" s="185">
        <f>+L266</f>
        <v>0</v>
      </c>
      <c r="M265" s="185">
        <f>+M266</f>
        <v>0</v>
      </c>
      <c r="N265" s="30">
        <f>SUM(O265:W265)</f>
        <v>0</v>
      </c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32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32">
        <f>Y265+N265</f>
        <v>0</v>
      </c>
      <c r="BG265" s="107"/>
    </row>
    <row r="266" spans="1:59" s="44" customFormat="1" ht="39" hidden="1" x14ac:dyDescent="0.25">
      <c r="A266" s="156" t="str">
        <f t="shared" si="41"/>
        <v/>
      </c>
      <c r="B266" s="28" t="s">
        <v>179</v>
      </c>
      <c r="C266" s="28"/>
      <c r="D266" s="200" t="s">
        <v>31</v>
      </c>
      <c r="E266" s="200"/>
      <c r="F266" s="200"/>
      <c r="G266" s="201" t="s">
        <v>18</v>
      </c>
      <c r="H266" s="271"/>
      <c r="I266" s="183"/>
      <c r="J266" s="185">
        <f t="shared" si="40"/>
        <v>0</v>
      </c>
      <c r="K266" s="185">
        <f>SUM(K267)</f>
        <v>0</v>
      </c>
      <c r="L266" s="185">
        <f>SUM(L267)</f>
        <v>0</v>
      </c>
      <c r="M266" s="185">
        <f>SUM(M267)</f>
        <v>0</v>
      </c>
      <c r="N266" s="30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32"/>
      <c r="Z266" s="63"/>
      <c r="AA266" s="63"/>
      <c r="AB266" s="63"/>
      <c r="AC266" s="63"/>
      <c r="AD266" s="63"/>
      <c r="AE266" s="63"/>
      <c r="AF266" s="63"/>
      <c r="AG266" s="63"/>
      <c r="AH266" s="63"/>
      <c r="AI266" s="63"/>
      <c r="AJ266" s="63"/>
      <c r="AK266" s="32"/>
      <c r="BG266" s="107"/>
    </row>
    <row r="267" spans="1:59" s="33" customFormat="1" ht="60" hidden="1" customHeight="1" x14ac:dyDescent="0.25">
      <c r="A267" s="156" t="str">
        <f t="shared" si="41"/>
        <v/>
      </c>
      <c r="B267" s="28" t="s">
        <v>179</v>
      </c>
      <c r="C267" s="28"/>
      <c r="D267" s="212" t="s">
        <v>225</v>
      </c>
      <c r="E267" s="188" t="s">
        <v>92</v>
      </c>
      <c r="F267" s="188" t="s">
        <v>93</v>
      </c>
      <c r="G267" s="394" t="s">
        <v>94</v>
      </c>
      <c r="H267" s="265"/>
      <c r="I267" s="266"/>
      <c r="J267" s="267">
        <f t="shared" si="40"/>
        <v>0</v>
      </c>
      <c r="K267" s="268"/>
      <c r="L267" s="268"/>
      <c r="M267" s="268"/>
      <c r="N267" s="30">
        <f>SUM(O267:W267)</f>
        <v>0</v>
      </c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2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2">
        <f>Y267+N267</f>
        <v>0</v>
      </c>
      <c r="BG267" s="107"/>
    </row>
    <row r="268" spans="1:59" s="87" customFormat="1" ht="42" hidden="1" customHeight="1" x14ac:dyDescent="0.3">
      <c r="A268" s="27" t="str">
        <f t="shared" si="41"/>
        <v/>
      </c>
      <c r="B268" s="101" t="s">
        <v>179</v>
      </c>
      <c r="C268" s="104"/>
      <c r="D268" s="468"/>
      <c r="E268" s="217"/>
      <c r="F268" s="218"/>
      <c r="G268" s="219" t="s">
        <v>22</v>
      </c>
      <c r="H268" s="286"/>
      <c r="I268" s="125"/>
      <c r="J268" s="130">
        <f t="shared" si="40"/>
        <v>0</v>
      </c>
      <c r="K268" s="34"/>
      <c r="L268" s="34"/>
      <c r="M268" s="34"/>
      <c r="N268" s="106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8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8"/>
      <c r="BG268" s="107"/>
    </row>
    <row r="269" spans="1:59" s="199" customFormat="1" ht="39" x14ac:dyDescent="0.3">
      <c r="A269" s="156" t="str">
        <f t="shared" si="41"/>
        <v>п</v>
      </c>
      <c r="B269" s="157" t="s">
        <v>13</v>
      </c>
      <c r="C269" s="28"/>
      <c r="D269" s="225" t="s">
        <v>165</v>
      </c>
      <c r="E269" s="200"/>
      <c r="F269" s="200"/>
      <c r="G269" s="201" t="s">
        <v>296</v>
      </c>
      <c r="H269" s="182"/>
      <c r="I269" s="183"/>
      <c r="J269" s="184">
        <f t="shared" si="40"/>
        <v>1046057.8899999999</v>
      </c>
      <c r="K269" s="185">
        <f>+K270</f>
        <v>524125.8899999999</v>
      </c>
      <c r="L269" s="185">
        <f>+L270</f>
        <v>521932</v>
      </c>
      <c r="M269" s="185">
        <f>+M270</f>
        <v>521932</v>
      </c>
      <c r="N269" s="30">
        <f>SUM(O269:W269)</f>
        <v>0</v>
      </c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32"/>
      <c r="Z269" s="63"/>
      <c r="AA269" s="63"/>
      <c r="AB269" s="63"/>
      <c r="AC269" s="63"/>
      <c r="AD269" s="63"/>
      <c r="AE269" s="63"/>
      <c r="AF269" s="63"/>
      <c r="AG269" s="63"/>
      <c r="AH269" s="63"/>
      <c r="AI269" s="63"/>
      <c r="AJ269" s="63"/>
      <c r="AK269" s="32">
        <f>Y269+N269</f>
        <v>0</v>
      </c>
      <c r="AL269" s="44"/>
      <c r="AM269" s="44"/>
      <c r="AN269" s="44"/>
      <c r="AO269" s="44"/>
      <c r="AP269" s="44"/>
      <c r="AQ269" s="44"/>
      <c r="AR269" s="44"/>
      <c r="AS269" s="44"/>
      <c r="AT269" s="44"/>
      <c r="AU269" s="44"/>
      <c r="AV269" s="44"/>
      <c r="AW269" s="44"/>
      <c r="AX269" s="44"/>
      <c r="AY269" s="44"/>
      <c r="AZ269" s="44"/>
      <c r="BA269" s="44"/>
      <c r="BB269" s="44"/>
      <c r="BC269" s="44"/>
      <c r="BD269" s="44"/>
      <c r="BE269" s="44"/>
      <c r="BF269" s="44"/>
      <c r="BG269" s="198"/>
    </row>
    <row r="270" spans="1:59" s="199" customFormat="1" ht="39" x14ac:dyDescent="0.3">
      <c r="A270" s="156" t="str">
        <f t="shared" si="41"/>
        <v>п</v>
      </c>
      <c r="B270" s="157" t="s">
        <v>13</v>
      </c>
      <c r="C270" s="28"/>
      <c r="D270" s="225" t="s">
        <v>166</v>
      </c>
      <c r="E270" s="200"/>
      <c r="F270" s="200"/>
      <c r="G270" s="201" t="s">
        <v>296</v>
      </c>
      <c r="H270" s="182"/>
      <c r="I270" s="183"/>
      <c r="J270" s="184">
        <f t="shared" si="40"/>
        <v>1046057.8899999999</v>
      </c>
      <c r="K270" s="185">
        <f>SUM(K271:K276)-K274</f>
        <v>524125.8899999999</v>
      </c>
      <c r="L270" s="185">
        <f>SUM(L271:L276)-L274</f>
        <v>521932</v>
      </c>
      <c r="M270" s="185">
        <f>SUM(M271:M276)-M274</f>
        <v>521932</v>
      </c>
      <c r="N270" s="30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32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32"/>
      <c r="AL270" s="44"/>
      <c r="AM270" s="44"/>
      <c r="AN270" s="44"/>
      <c r="AO270" s="44"/>
      <c r="AP270" s="44"/>
      <c r="AQ270" s="44"/>
      <c r="AR270" s="44"/>
      <c r="AS270" s="44"/>
      <c r="AT270" s="44"/>
      <c r="AU270" s="44"/>
      <c r="AV270" s="44"/>
      <c r="AW270" s="44"/>
      <c r="AX270" s="44"/>
      <c r="AY270" s="44"/>
      <c r="AZ270" s="44"/>
      <c r="BA270" s="44"/>
      <c r="BB270" s="44"/>
      <c r="BC270" s="44"/>
      <c r="BD270" s="44"/>
      <c r="BE270" s="44"/>
      <c r="BF270" s="44"/>
      <c r="BG270" s="198"/>
    </row>
    <row r="271" spans="1:59" s="197" customFormat="1" ht="18.75" x14ac:dyDescent="0.3">
      <c r="A271" s="156" t="str">
        <f t="shared" si="41"/>
        <v>п</v>
      </c>
      <c r="B271" s="157" t="s">
        <v>13</v>
      </c>
      <c r="C271" s="28"/>
      <c r="D271" s="188" t="s">
        <v>197</v>
      </c>
      <c r="E271" s="188" t="s">
        <v>196</v>
      </c>
      <c r="F271" s="188" t="s">
        <v>27</v>
      </c>
      <c r="G271" s="189" t="s">
        <v>198</v>
      </c>
      <c r="H271" s="286"/>
      <c r="I271" s="221"/>
      <c r="J271" s="192">
        <f t="shared" si="40"/>
        <v>473934</v>
      </c>
      <c r="K271" s="193">
        <v>473934</v>
      </c>
      <c r="L271" s="207"/>
      <c r="M271" s="207"/>
      <c r="N271" s="30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2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2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198"/>
    </row>
    <row r="272" spans="1:59" s="197" customFormat="1" ht="18.75" x14ac:dyDescent="0.3">
      <c r="A272" s="156" t="str">
        <f t="shared" si="41"/>
        <v>п</v>
      </c>
      <c r="B272" s="157" t="s">
        <v>13</v>
      </c>
      <c r="C272" s="157"/>
      <c r="D272" s="212" t="s">
        <v>142</v>
      </c>
      <c r="E272" s="188" t="s">
        <v>143</v>
      </c>
      <c r="F272" s="188" t="s">
        <v>104</v>
      </c>
      <c r="G272" s="189" t="s">
        <v>144</v>
      </c>
      <c r="H272" s="220"/>
      <c r="I272" s="221"/>
      <c r="J272" s="193">
        <f t="shared" si="40"/>
        <v>21515</v>
      </c>
      <c r="K272" s="193"/>
      <c r="L272" s="207">
        <v>21515</v>
      </c>
      <c r="M272" s="207">
        <v>21515</v>
      </c>
      <c r="N272" s="386"/>
      <c r="O272" s="437"/>
      <c r="P272" s="437"/>
      <c r="Q272" s="437"/>
      <c r="R272" s="437"/>
      <c r="S272" s="437"/>
      <c r="T272" s="437"/>
      <c r="U272" s="437"/>
      <c r="V272" s="437"/>
      <c r="W272" s="437"/>
      <c r="X272" s="437"/>
      <c r="Y272" s="387"/>
      <c r="Z272" s="437"/>
      <c r="AA272" s="437"/>
      <c r="AB272" s="437"/>
      <c r="AC272" s="437"/>
      <c r="AD272" s="437"/>
      <c r="AE272" s="437"/>
      <c r="AF272" s="437"/>
      <c r="AG272" s="437"/>
      <c r="AH272" s="437"/>
      <c r="AI272" s="437"/>
      <c r="AJ272" s="437"/>
      <c r="AK272" s="387"/>
      <c r="BG272" s="198"/>
    </row>
    <row r="273" spans="1:59" s="197" customFormat="1" ht="39.75" customHeight="1" x14ac:dyDescent="0.3">
      <c r="A273" s="156" t="str">
        <f t="shared" si="41"/>
        <v>п</v>
      </c>
      <c r="B273" s="157" t="s">
        <v>13</v>
      </c>
      <c r="C273" s="28"/>
      <c r="D273" s="188" t="s">
        <v>255</v>
      </c>
      <c r="E273" s="188" t="s">
        <v>256</v>
      </c>
      <c r="F273" s="188" t="s">
        <v>257</v>
      </c>
      <c r="G273" s="189" t="s">
        <v>258</v>
      </c>
      <c r="H273" s="220"/>
      <c r="I273" s="221"/>
      <c r="J273" s="193">
        <f t="shared" si="40"/>
        <v>50191.889999999898</v>
      </c>
      <c r="K273" s="193">
        <f>1400000-1349808.11</f>
        <v>50191.889999999898</v>
      </c>
      <c r="L273" s="207"/>
      <c r="M273" s="207"/>
      <c r="N273" s="30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2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2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198"/>
    </row>
    <row r="274" spans="1:59" s="87" customFormat="1" ht="42" hidden="1" customHeight="1" x14ac:dyDescent="0.3">
      <c r="A274" s="27" t="str">
        <f>IF(J274=0,"","п")</f>
        <v/>
      </c>
      <c r="B274" s="28" t="s">
        <v>13</v>
      </c>
      <c r="C274" s="104"/>
      <c r="D274" s="468"/>
      <c r="E274" s="217"/>
      <c r="F274" s="218"/>
      <c r="G274" s="219" t="s">
        <v>22</v>
      </c>
      <c r="H274" s="286"/>
      <c r="I274" s="125"/>
      <c r="J274" s="130">
        <f>+K274+L274</f>
        <v>0</v>
      </c>
      <c r="K274" s="34"/>
      <c r="L274" s="34"/>
      <c r="M274" s="34"/>
      <c r="N274" s="106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8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8"/>
      <c r="BG274" s="107"/>
    </row>
    <row r="275" spans="1:59" s="33" customFormat="1" ht="32.25" customHeight="1" x14ac:dyDescent="0.25">
      <c r="A275" s="27" t="str">
        <f>IF(J275=0,"","п")</f>
        <v>п</v>
      </c>
      <c r="B275" s="157" t="s">
        <v>13</v>
      </c>
      <c r="C275" s="28"/>
      <c r="D275" s="188" t="s">
        <v>321</v>
      </c>
      <c r="E275" s="188" t="s">
        <v>322</v>
      </c>
      <c r="F275" s="188" t="s">
        <v>123</v>
      </c>
      <c r="G275" s="189" t="s">
        <v>323</v>
      </c>
      <c r="H275" s="220"/>
      <c r="I275" s="125"/>
      <c r="J275" s="193">
        <f>+K275+L275</f>
        <v>280032</v>
      </c>
      <c r="K275" s="193"/>
      <c r="L275" s="207">
        <v>280032</v>
      </c>
      <c r="M275" s="207">
        <v>280032</v>
      </c>
      <c r="N275" s="30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2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2"/>
      <c r="BG275" s="107"/>
    </row>
    <row r="276" spans="1:59" s="33" customFormat="1" ht="18.75" x14ac:dyDescent="0.25">
      <c r="A276" s="27" t="str">
        <f t="shared" si="41"/>
        <v>п</v>
      </c>
      <c r="B276" s="28" t="s">
        <v>13</v>
      </c>
      <c r="C276" s="28"/>
      <c r="D276" s="212" t="s">
        <v>330</v>
      </c>
      <c r="E276" s="188" t="s">
        <v>140</v>
      </c>
      <c r="F276" s="188" t="s">
        <v>154</v>
      </c>
      <c r="G276" s="215" t="s">
        <v>141</v>
      </c>
      <c r="H276" s="220"/>
      <c r="I276" s="125"/>
      <c r="J276" s="193">
        <f t="shared" ref="J276:J303" si="42">+K276+L276</f>
        <v>220385</v>
      </c>
      <c r="K276" s="193"/>
      <c r="L276" s="207">
        <v>220385</v>
      </c>
      <c r="M276" s="207">
        <v>220385</v>
      </c>
      <c r="N276" s="30">
        <f>SUM(O276:W276)</f>
        <v>0</v>
      </c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2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2">
        <f>Y276+N276</f>
        <v>0</v>
      </c>
      <c r="BG276" s="107"/>
    </row>
    <row r="277" spans="1:59" s="199" customFormat="1" ht="58.5" x14ac:dyDescent="0.3">
      <c r="A277" s="156" t="str">
        <f t="shared" si="41"/>
        <v>п</v>
      </c>
      <c r="B277" s="157" t="s">
        <v>181</v>
      </c>
      <c r="C277" s="28"/>
      <c r="D277" s="225" t="s">
        <v>62</v>
      </c>
      <c r="E277" s="200"/>
      <c r="F277" s="200"/>
      <c r="G277" s="201" t="s">
        <v>9</v>
      </c>
      <c r="H277" s="182"/>
      <c r="I277" s="183"/>
      <c r="J277" s="184">
        <f t="shared" si="42"/>
        <v>99275340.810000002</v>
      </c>
      <c r="K277" s="185">
        <f>K278</f>
        <v>7253027</v>
      </c>
      <c r="L277" s="185">
        <f>L278</f>
        <v>92022313.810000002</v>
      </c>
      <c r="M277" s="185">
        <f>M278</f>
        <v>92022313.810000002</v>
      </c>
      <c r="N277" s="50">
        <f>SUM(O277:W277)</f>
        <v>0</v>
      </c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5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51">
        <f>Y277+N277</f>
        <v>0</v>
      </c>
      <c r="AL277" s="44"/>
      <c r="AM277" s="44"/>
      <c r="AN277" s="44"/>
      <c r="AO277" s="44"/>
      <c r="AP277" s="44"/>
      <c r="AQ277" s="44"/>
      <c r="AR277" s="44"/>
      <c r="AS277" s="44"/>
      <c r="AT277" s="44"/>
      <c r="AU277" s="44"/>
      <c r="AV277" s="44"/>
      <c r="AW277" s="44"/>
      <c r="AX277" s="44"/>
      <c r="AY277" s="44"/>
      <c r="AZ277" s="44"/>
      <c r="BA277" s="44"/>
      <c r="BB277" s="44"/>
      <c r="BC277" s="44"/>
      <c r="BD277" s="44"/>
      <c r="BE277" s="44"/>
      <c r="BF277" s="44"/>
      <c r="BG277" s="198"/>
    </row>
    <row r="278" spans="1:59" s="199" customFormat="1" ht="58.5" x14ac:dyDescent="0.3">
      <c r="A278" s="156" t="str">
        <f t="shared" si="41"/>
        <v>п</v>
      </c>
      <c r="B278" s="157" t="s">
        <v>181</v>
      </c>
      <c r="C278" s="28"/>
      <c r="D278" s="225" t="s">
        <v>63</v>
      </c>
      <c r="E278" s="200"/>
      <c r="F278" s="200"/>
      <c r="G278" s="201" t="s">
        <v>9</v>
      </c>
      <c r="H278" s="202"/>
      <c r="I278" s="203"/>
      <c r="J278" s="204">
        <f t="shared" si="42"/>
        <v>99275340.810000002</v>
      </c>
      <c r="K278" s="185">
        <f>SUM(K279:K301)-K298-K300-K296</f>
        <v>7253027</v>
      </c>
      <c r="L278" s="185">
        <f>SUM(L279:L301)-L298-L300-L296</f>
        <v>92022313.810000002</v>
      </c>
      <c r="M278" s="185">
        <f>SUM(M279:M301)-M298-M300-M296</f>
        <v>92022313.810000002</v>
      </c>
      <c r="N278" s="50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5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51"/>
      <c r="AL278" s="44"/>
      <c r="AM278" s="44"/>
      <c r="AN278" s="44"/>
      <c r="AO278" s="44"/>
      <c r="AP278" s="44"/>
      <c r="AQ278" s="44"/>
      <c r="AR278" s="44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198"/>
    </row>
    <row r="279" spans="1:59" s="33" customFormat="1" ht="60.75" hidden="1" customHeight="1" x14ac:dyDescent="0.25">
      <c r="A279" s="27" t="str">
        <f t="shared" si="41"/>
        <v/>
      </c>
      <c r="B279" s="28" t="s">
        <v>181</v>
      </c>
      <c r="C279" s="102"/>
      <c r="D279" s="279" t="s">
        <v>91</v>
      </c>
      <c r="E279" s="279" t="s">
        <v>92</v>
      </c>
      <c r="F279" s="188" t="s">
        <v>93</v>
      </c>
      <c r="G279" s="394" t="s">
        <v>94</v>
      </c>
      <c r="H279" s="265"/>
      <c r="I279" s="123"/>
      <c r="J279" s="136">
        <f t="shared" si="42"/>
        <v>0</v>
      </c>
      <c r="K279" s="49"/>
      <c r="L279" s="49"/>
      <c r="M279" s="49"/>
      <c r="N279" s="68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53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53"/>
      <c r="BG279" s="107"/>
    </row>
    <row r="280" spans="1:59" s="33" customFormat="1" ht="27" hidden="1" customHeight="1" x14ac:dyDescent="0.25">
      <c r="A280" s="27" t="str">
        <f t="shared" si="41"/>
        <v/>
      </c>
      <c r="B280" s="28" t="s">
        <v>181</v>
      </c>
      <c r="C280" s="28"/>
      <c r="D280" s="188" t="s">
        <v>80</v>
      </c>
      <c r="E280" s="188" t="s">
        <v>169</v>
      </c>
      <c r="F280" s="188" t="s">
        <v>157</v>
      </c>
      <c r="G280" s="189" t="s">
        <v>58</v>
      </c>
      <c r="H280" s="190"/>
      <c r="I280" s="111"/>
      <c r="J280" s="129">
        <f t="shared" si="42"/>
        <v>0</v>
      </c>
      <c r="K280" s="37"/>
      <c r="L280" s="35"/>
      <c r="M280" s="35"/>
      <c r="N280" s="30">
        <f>SUM(O280:W280)</f>
        <v>0</v>
      </c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2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2">
        <f>Y280+N280</f>
        <v>0</v>
      </c>
      <c r="BG280" s="107"/>
    </row>
    <row r="281" spans="1:59" s="33" customFormat="1" ht="43.5" hidden="1" customHeight="1" x14ac:dyDescent="0.25">
      <c r="A281" s="27" t="str">
        <f t="shared" si="41"/>
        <v/>
      </c>
      <c r="B281" s="28" t="s">
        <v>181</v>
      </c>
      <c r="C281" s="28"/>
      <c r="D281" s="212" t="s">
        <v>285</v>
      </c>
      <c r="E281" s="187" t="s">
        <v>277</v>
      </c>
      <c r="F281" s="188" t="s">
        <v>158</v>
      </c>
      <c r="G281" s="189" t="s">
        <v>278</v>
      </c>
      <c r="H281" s="190" t="s">
        <v>148</v>
      </c>
      <c r="I281" s="111"/>
      <c r="J281" s="129">
        <f t="shared" si="42"/>
        <v>0</v>
      </c>
      <c r="K281" s="37"/>
      <c r="L281" s="35"/>
      <c r="M281" s="35"/>
      <c r="N281" s="30">
        <f>SUM(O281:W281)</f>
        <v>0</v>
      </c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2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2">
        <f>Y281+N281</f>
        <v>0</v>
      </c>
      <c r="BG281" s="107"/>
    </row>
    <row r="282" spans="1:59" s="33" customFormat="1" ht="39.75" hidden="1" customHeight="1" x14ac:dyDescent="0.25">
      <c r="A282" s="27" t="str">
        <f t="shared" si="41"/>
        <v/>
      </c>
      <c r="B282" s="28" t="s">
        <v>181</v>
      </c>
      <c r="C282" s="105"/>
      <c r="D282" s="188" t="s">
        <v>81</v>
      </c>
      <c r="E282" s="188" t="s">
        <v>172</v>
      </c>
      <c r="F282" s="212" t="s">
        <v>161</v>
      </c>
      <c r="G282" s="394" t="s">
        <v>170</v>
      </c>
      <c r="H282" s="265"/>
      <c r="I282" s="123"/>
      <c r="J282" s="136">
        <f t="shared" si="42"/>
        <v>0</v>
      </c>
      <c r="K282" s="49"/>
      <c r="L282" s="49"/>
      <c r="M282" s="49"/>
      <c r="N282" s="67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9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9"/>
      <c r="BG282" s="107"/>
    </row>
    <row r="283" spans="1:59" s="33" customFormat="1" ht="38.25" hidden="1" customHeight="1" x14ac:dyDescent="0.25">
      <c r="A283" s="27" t="str">
        <f t="shared" si="41"/>
        <v/>
      </c>
      <c r="B283" s="28" t="s">
        <v>181</v>
      </c>
      <c r="C283" s="105"/>
      <c r="D283" s="212">
        <v>1212111</v>
      </c>
      <c r="E283" s="187" t="s">
        <v>42</v>
      </c>
      <c r="F283" s="188" t="s">
        <v>87</v>
      </c>
      <c r="G283" s="189" t="s">
        <v>43</v>
      </c>
      <c r="H283" s="275"/>
      <c r="I283" s="123"/>
      <c r="J283" s="49">
        <f t="shared" si="42"/>
        <v>0</v>
      </c>
      <c r="K283" s="49"/>
      <c r="L283" s="49"/>
      <c r="M283" s="49"/>
      <c r="N283" s="67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9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9"/>
      <c r="BG283" s="107"/>
    </row>
    <row r="284" spans="1:59" s="33" customFormat="1" ht="18.75" hidden="1" x14ac:dyDescent="0.25">
      <c r="A284" s="27" t="str">
        <f t="shared" si="41"/>
        <v/>
      </c>
      <c r="B284" s="28" t="s">
        <v>181</v>
      </c>
      <c r="C284" s="103"/>
      <c r="D284" s="212"/>
      <c r="E284" s="188"/>
      <c r="F284" s="188"/>
      <c r="G284" s="189"/>
      <c r="H284" s="216"/>
      <c r="I284" s="111"/>
      <c r="J284" s="37">
        <f t="shared" si="42"/>
        <v>0</v>
      </c>
      <c r="K284" s="37"/>
      <c r="L284" s="37">
        <f>300000-300000</f>
        <v>0</v>
      </c>
      <c r="M284" s="37">
        <f>300000-300000</f>
        <v>0</v>
      </c>
      <c r="N284" s="30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2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2"/>
      <c r="BG284" s="107"/>
    </row>
    <row r="285" spans="1:59" s="33" customFormat="1" ht="19.5" hidden="1" customHeight="1" x14ac:dyDescent="0.25">
      <c r="A285" s="27" t="str">
        <f t="shared" si="41"/>
        <v/>
      </c>
      <c r="B285" s="28" t="s">
        <v>181</v>
      </c>
      <c r="C285" s="28"/>
      <c r="D285" s="188"/>
      <c r="E285" s="216"/>
      <c r="F285" s="188"/>
      <c r="G285" s="189"/>
      <c r="H285" s="275"/>
      <c r="I285" s="123"/>
      <c r="J285" s="49">
        <f t="shared" si="42"/>
        <v>0</v>
      </c>
      <c r="K285" s="49"/>
      <c r="L285" s="49">
        <f>1000000-1000000</f>
        <v>0</v>
      </c>
      <c r="M285" s="49">
        <f>1000000-1000000</f>
        <v>0</v>
      </c>
      <c r="N285" s="50"/>
      <c r="O285" s="52"/>
      <c r="P285" s="53"/>
      <c r="Q285" s="53"/>
      <c r="R285" s="53"/>
      <c r="S285" s="53"/>
      <c r="T285" s="53"/>
      <c r="U285" s="53"/>
      <c r="V285" s="53"/>
      <c r="W285" s="53"/>
      <c r="X285" s="53"/>
      <c r="Y285" s="51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1"/>
      <c r="BG285" s="107"/>
    </row>
    <row r="286" spans="1:59" s="33" customFormat="1" ht="37.5" hidden="1" customHeight="1" x14ac:dyDescent="0.25">
      <c r="A286" s="27" t="str">
        <f t="shared" si="41"/>
        <v/>
      </c>
      <c r="B286" s="28" t="s">
        <v>181</v>
      </c>
      <c r="C286" s="28"/>
      <c r="D286" s="188"/>
      <c r="E286" s="275"/>
      <c r="F286" s="279"/>
      <c r="G286" s="394"/>
      <c r="H286" s="379"/>
      <c r="I286" s="126"/>
      <c r="J286" s="49">
        <f t="shared" si="42"/>
        <v>0</v>
      </c>
      <c r="K286" s="49">
        <f>2398131-2398131</f>
        <v>0</v>
      </c>
      <c r="L286" s="49"/>
      <c r="M286" s="49"/>
      <c r="N286" s="50">
        <f>SUM(O286:W286)</f>
        <v>0</v>
      </c>
      <c r="O286" s="52"/>
      <c r="P286" s="53"/>
      <c r="Q286" s="53"/>
      <c r="R286" s="53"/>
      <c r="S286" s="53"/>
      <c r="T286" s="53"/>
      <c r="U286" s="53"/>
      <c r="V286" s="53"/>
      <c r="W286" s="53"/>
      <c r="X286" s="53"/>
      <c r="Y286" s="51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1">
        <f>Y286+N286</f>
        <v>0</v>
      </c>
      <c r="BG286" s="107"/>
    </row>
    <row r="287" spans="1:59" s="33" customFormat="1" ht="39.75" customHeight="1" x14ac:dyDescent="0.25">
      <c r="A287" s="27" t="str">
        <f t="shared" si="41"/>
        <v>п</v>
      </c>
      <c r="B287" s="28" t="s">
        <v>181</v>
      </c>
      <c r="C287" s="102"/>
      <c r="D287" s="212">
        <v>1216017</v>
      </c>
      <c r="E287" s="187">
        <v>6017</v>
      </c>
      <c r="F287" s="188" t="s">
        <v>151</v>
      </c>
      <c r="G287" s="189" t="s">
        <v>132</v>
      </c>
      <c r="H287" s="275"/>
      <c r="I287" s="266"/>
      <c r="J287" s="268">
        <f t="shared" si="42"/>
        <v>240000</v>
      </c>
      <c r="K287" s="268">
        <v>240000</v>
      </c>
      <c r="L287" s="268"/>
      <c r="M287" s="268"/>
      <c r="N287" s="68"/>
      <c r="O287" s="52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BG287" s="107"/>
    </row>
    <row r="288" spans="1:59" s="33" customFormat="1" ht="52.5" hidden="1" customHeight="1" x14ac:dyDescent="0.25">
      <c r="A288" s="27" t="str">
        <f t="shared" si="41"/>
        <v/>
      </c>
      <c r="B288" s="28" t="s">
        <v>181</v>
      </c>
      <c r="C288" s="28"/>
      <c r="D288" s="279" t="s">
        <v>70</v>
      </c>
      <c r="E288" s="275" t="s">
        <v>71</v>
      </c>
      <c r="F288" s="188" t="s">
        <v>151</v>
      </c>
      <c r="G288" s="189" t="s">
        <v>72</v>
      </c>
      <c r="H288" s="265"/>
      <c r="I288" s="266"/>
      <c r="J288" s="267">
        <f t="shared" si="42"/>
        <v>0</v>
      </c>
      <c r="K288" s="268">
        <f>15000-15000</f>
        <v>0</v>
      </c>
      <c r="L288" s="268">
        <f>1450000-1450000</f>
        <v>0</v>
      </c>
      <c r="M288" s="268">
        <f>1450000-1450000</f>
        <v>0</v>
      </c>
      <c r="N288" s="50">
        <f>SUM(O288:W288)</f>
        <v>0</v>
      </c>
      <c r="O288" s="52"/>
      <c r="P288" s="53"/>
      <c r="Q288" s="53"/>
      <c r="R288" s="53"/>
      <c r="S288" s="53"/>
      <c r="T288" s="53"/>
      <c r="U288" s="53"/>
      <c r="V288" s="53"/>
      <c r="W288" s="53"/>
      <c r="X288" s="53"/>
      <c r="Y288" s="51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1">
        <f>Y288+N288</f>
        <v>0</v>
      </c>
      <c r="BG288" s="107"/>
    </row>
    <row r="289" spans="1:59" s="33" customFormat="1" ht="39.75" customHeight="1" x14ac:dyDescent="0.25">
      <c r="A289" s="27" t="str">
        <f t="shared" si="41"/>
        <v>п</v>
      </c>
      <c r="B289" s="28" t="s">
        <v>181</v>
      </c>
      <c r="C289" s="28"/>
      <c r="D289" s="188" t="s">
        <v>222</v>
      </c>
      <c r="E289" s="216" t="s">
        <v>223</v>
      </c>
      <c r="F289" s="188" t="s">
        <v>211</v>
      </c>
      <c r="G289" s="189" t="s">
        <v>224</v>
      </c>
      <c r="H289" s="190"/>
      <c r="I289" s="191"/>
      <c r="J289" s="192">
        <f t="shared" si="42"/>
        <v>413900</v>
      </c>
      <c r="K289" s="193">
        <v>364000</v>
      </c>
      <c r="L289" s="193">
        <v>49900</v>
      </c>
      <c r="M289" s="193">
        <v>49900</v>
      </c>
      <c r="N289" s="50"/>
      <c r="O289" s="52"/>
      <c r="P289" s="53"/>
      <c r="Q289" s="53"/>
      <c r="R289" s="53"/>
      <c r="S289" s="53"/>
      <c r="T289" s="53"/>
      <c r="U289" s="53"/>
      <c r="V289" s="53"/>
      <c r="W289" s="53"/>
      <c r="X289" s="53"/>
      <c r="Y289" s="51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1"/>
      <c r="BG289" s="107"/>
    </row>
    <row r="290" spans="1:59" s="33" customFormat="1" ht="39.75" hidden="1" customHeight="1" x14ac:dyDescent="0.25">
      <c r="A290" s="27" t="str">
        <f>IF(J290=0,"","п")</f>
        <v/>
      </c>
      <c r="B290" s="28" t="s">
        <v>181</v>
      </c>
      <c r="C290" s="28"/>
      <c r="D290" s="188" t="s">
        <v>64</v>
      </c>
      <c r="E290" s="216" t="s">
        <v>65</v>
      </c>
      <c r="F290" s="188" t="s">
        <v>151</v>
      </c>
      <c r="G290" s="189" t="s">
        <v>66</v>
      </c>
      <c r="H290" s="190"/>
      <c r="I290" s="191"/>
      <c r="J290" s="192">
        <f t="shared" si="42"/>
        <v>0</v>
      </c>
      <c r="K290" s="193"/>
      <c r="L290" s="193"/>
      <c r="M290" s="193"/>
      <c r="N290" s="50"/>
      <c r="O290" s="52"/>
      <c r="P290" s="53"/>
      <c r="Q290" s="53"/>
      <c r="R290" s="53"/>
      <c r="S290" s="53"/>
      <c r="T290" s="53"/>
      <c r="U290" s="53"/>
      <c r="V290" s="53"/>
      <c r="W290" s="53"/>
      <c r="X290" s="53"/>
      <c r="Y290" s="51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1"/>
      <c r="BG290" s="107"/>
    </row>
    <row r="291" spans="1:59" s="197" customFormat="1" ht="37.5" x14ac:dyDescent="0.3">
      <c r="A291" s="156" t="str">
        <f t="shared" si="41"/>
        <v>п</v>
      </c>
      <c r="B291" s="157" t="s">
        <v>181</v>
      </c>
      <c r="C291" s="28"/>
      <c r="D291" s="279" t="s">
        <v>82</v>
      </c>
      <c r="E291" s="275" t="s">
        <v>83</v>
      </c>
      <c r="F291" s="188" t="s">
        <v>154</v>
      </c>
      <c r="G291" s="276" t="s">
        <v>84</v>
      </c>
      <c r="H291" s="265"/>
      <c r="I291" s="266"/>
      <c r="J291" s="267">
        <f>+K291+L291</f>
        <v>5155000</v>
      </c>
      <c r="K291" s="268"/>
      <c r="L291" s="268">
        <f>8597000-644900-54183.96-2046126.25+300000-48500-181992-766297.79</f>
        <v>5155000</v>
      </c>
      <c r="M291" s="268">
        <f>8597000-644900-54183.96-2046126.25+300000-48500-181992-766297.79</f>
        <v>5155000</v>
      </c>
      <c r="N291" s="50">
        <f>SUM(O291:W291)</f>
        <v>0</v>
      </c>
      <c r="O291" s="52"/>
      <c r="P291" s="53"/>
      <c r="Q291" s="53"/>
      <c r="R291" s="53"/>
      <c r="S291" s="53"/>
      <c r="T291" s="53"/>
      <c r="U291" s="53"/>
      <c r="V291" s="53"/>
      <c r="W291" s="53"/>
      <c r="X291" s="53"/>
      <c r="Y291" s="51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1">
        <f>Y291+N291</f>
        <v>0</v>
      </c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198"/>
    </row>
    <row r="292" spans="1:59" s="197" customFormat="1" ht="23.25" customHeight="1" x14ac:dyDescent="0.3">
      <c r="A292" s="156" t="str">
        <f t="shared" si="41"/>
        <v>п</v>
      </c>
      <c r="B292" s="157" t="s">
        <v>181</v>
      </c>
      <c r="C292" s="28"/>
      <c r="D292" s="279" t="s">
        <v>183</v>
      </c>
      <c r="E292" s="275" t="s">
        <v>184</v>
      </c>
      <c r="F292" s="279" t="s">
        <v>154</v>
      </c>
      <c r="G292" s="287" t="s">
        <v>185</v>
      </c>
      <c r="H292" s="275"/>
      <c r="I292" s="266"/>
      <c r="J292" s="267">
        <f t="shared" si="42"/>
        <v>10478023.810000001</v>
      </c>
      <c r="K292" s="268"/>
      <c r="L292" s="268">
        <f>11048000-569976.19</f>
        <v>10478023.810000001</v>
      </c>
      <c r="M292" s="268">
        <f>11048000-569976.19</f>
        <v>10478023.810000001</v>
      </c>
      <c r="N292" s="50"/>
      <c r="O292" s="52"/>
      <c r="P292" s="53"/>
      <c r="Q292" s="53"/>
      <c r="R292" s="53"/>
      <c r="S292" s="53"/>
      <c r="T292" s="53"/>
      <c r="U292" s="53"/>
      <c r="V292" s="53"/>
      <c r="W292" s="53"/>
      <c r="X292" s="53"/>
      <c r="Y292" s="51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1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198"/>
    </row>
    <row r="293" spans="1:59" s="33" customFormat="1" ht="24" hidden="1" customHeight="1" x14ac:dyDescent="0.25">
      <c r="A293" s="27" t="str">
        <f t="shared" si="41"/>
        <v/>
      </c>
      <c r="B293" s="28" t="s">
        <v>181</v>
      </c>
      <c r="C293" s="28"/>
      <c r="D293" s="279">
        <v>1217322</v>
      </c>
      <c r="E293" s="275">
        <v>7322</v>
      </c>
      <c r="F293" s="279" t="s">
        <v>154</v>
      </c>
      <c r="G293" s="287" t="s">
        <v>90</v>
      </c>
      <c r="H293" s="265"/>
      <c r="I293" s="266"/>
      <c r="J293" s="267">
        <f t="shared" si="42"/>
        <v>0</v>
      </c>
      <c r="K293" s="268"/>
      <c r="L293" s="436"/>
      <c r="M293" s="436"/>
      <c r="N293" s="50">
        <f>SUM(O293:W293)</f>
        <v>0</v>
      </c>
      <c r="O293" s="52"/>
      <c r="P293" s="53"/>
      <c r="Q293" s="53"/>
      <c r="R293" s="53"/>
      <c r="S293" s="53"/>
      <c r="T293" s="53"/>
      <c r="U293" s="53"/>
      <c r="V293" s="53"/>
      <c r="W293" s="53"/>
      <c r="X293" s="53"/>
      <c r="Y293" s="51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1">
        <f>Y293+N293</f>
        <v>0</v>
      </c>
      <c r="BG293" s="107"/>
    </row>
    <row r="294" spans="1:59" s="33" customFormat="1" ht="37.5" x14ac:dyDescent="0.25">
      <c r="A294" s="27" t="str">
        <f>IF(J294=0,"","п")</f>
        <v>п</v>
      </c>
      <c r="B294" s="28" t="s">
        <v>181</v>
      </c>
      <c r="C294" s="28"/>
      <c r="D294" s="279" t="s">
        <v>333</v>
      </c>
      <c r="E294" s="275">
        <v>7325</v>
      </c>
      <c r="F294" s="279" t="s">
        <v>154</v>
      </c>
      <c r="G294" s="287" t="s">
        <v>334</v>
      </c>
      <c r="H294" s="265"/>
      <c r="I294" s="266"/>
      <c r="J294" s="267">
        <f t="shared" si="42"/>
        <v>46000</v>
      </c>
      <c r="K294" s="268"/>
      <c r="L294" s="436">
        <v>46000</v>
      </c>
      <c r="M294" s="436">
        <v>46000</v>
      </c>
      <c r="N294" s="50">
        <f>SUM(O294:W294)</f>
        <v>0</v>
      </c>
      <c r="O294" s="52"/>
      <c r="P294" s="53"/>
      <c r="Q294" s="53"/>
      <c r="R294" s="53"/>
      <c r="S294" s="53"/>
      <c r="T294" s="53"/>
      <c r="U294" s="53"/>
      <c r="V294" s="53"/>
      <c r="W294" s="53"/>
      <c r="X294" s="53"/>
      <c r="Y294" s="51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1">
        <f>Y294+N294</f>
        <v>0</v>
      </c>
      <c r="BG294" s="107"/>
    </row>
    <row r="295" spans="1:59" s="235" customFormat="1" ht="28.5" customHeight="1" x14ac:dyDescent="0.3">
      <c r="A295" s="156" t="str">
        <f t="shared" si="41"/>
        <v>п</v>
      </c>
      <c r="B295" s="214" t="s">
        <v>181</v>
      </c>
      <c r="C295" s="101"/>
      <c r="D295" s="279">
        <v>1217330</v>
      </c>
      <c r="E295" s="275">
        <v>7330</v>
      </c>
      <c r="F295" s="279" t="s">
        <v>154</v>
      </c>
      <c r="G295" s="287" t="s">
        <v>252</v>
      </c>
      <c r="H295" s="265"/>
      <c r="I295" s="266"/>
      <c r="J295" s="267">
        <f t="shared" si="42"/>
        <v>3698500</v>
      </c>
      <c r="K295" s="268"/>
      <c r="L295" s="268">
        <f>1450000+1450000+750000+48500-1450000+1450000</f>
        <v>3698500</v>
      </c>
      <c r="M295" s="268">
        <f>1450000+1450000+750000+48500-1450000+1450000</f>
        <v>3698500</v>
      </c>
      <c r="N295" s="95"/>
      <c r="O295" s="96"/>
      <c r="P295" s="97"/>
      <c r="Q295" s="97"/>
      <c r="R295" s="97"/>
      <c r="S295" s="97"/>
      <c r="T295" s="97"/>
      <c r="U295" s="97"/>
      <c r="V295" s="97"/>
      <c r="W295" s="97"/>
      <c r="X295" s="97"/>
      <c r="Y295" s="98"/>
      <c r="Z295" s="97"/>
      <c r="AA295" s="97"/>
      <c r="AB295" s="97"/>
      <c r="AC295" s="97"/>
      <c r="AD295" s="97"/>
      <c r="AE295" s="97"/>
      <c r="AF295" s="97"/>
      <c r="AG295" s="97"/>
      <c r="AH295" s="97"/>
      <c r="AI295" s="97"/>
      <c r="AJ295" s="97"/>
      <c r="AK295" s="98"/>
      <c r="AL295" s="87"/>
      <c r="AM295" s="87"/>
      <c r="AN295" s="87"/>
      <c r="AO295" s="87"/>
      <c r="AP295" s="87"/>
      <c r="AQ295" s="87"/>
      <c r="AR295" s="87"/>
      <c r="AS295" s="87"/>
      <c r="AT295" s="87"/>
      <c r="AU295" s="87"/>
      <c r="AV295" s="87"/>
      <c r="AW295" s="87"/>
      <c r="AX295" s="87"/>
      <c r="AY295" s="87"/>
      <c r="AZ295" s="87"/>
      <c r="BA295" s="87"/>
      <c r="BB295" s="87"/>
      <c r="BC295" s="87"/>
      <c r="BD295" s="87"/>
      <c r="BE295" s="87"/>
      <c r="BF295" s="87"/>
      <c r="BG295" s="198"/>
    </row>
    <row r="296" spans="1:59" s="197" customFormat="1" ht="24.75" customHeight="1" x14ac:dyDescent="0.3">
      <c r="A296" s="156" t="str">
        <f>IF(J296=0,"","п")</f>
        <v>п</v>
      </c>
      <c r="B296" s="157" t="s">
        <v>181</v>
      </c>
      <c r="C296" s="28"/>
      <c r="D296" s="289"/>
      <c r="E296" s="288"/>
      <c r="F296" s="289"/>
      <c r="G296" s="219" t="s">
        <v>145</v>
      </c>
      <c r="H296" s="290"/>
      <c r="I296" s="291"/>
      <c r="J296" s="292">
        <f t="shared" si="42"/>
        <v>1450000</v>
      </c>
      <c r="K296" s="293"/>
      <c r="L296" s="293">
        <v>1450000</v>
      </c>
      <c r="M296" s="293">
        <v>1450000</v>
      </c>
      <c r="N296" s="50"/>
      <c r="O296" s="52"/>
      <c r="P296" s="53"/>
      <c r="Q296" s="53"/>
      <c r="R296" s="53"/>
      <c r="S296" s="53"/>
      <c r="T296" s="53"/>
      <c r="U296" s="53"/>
      <c r="V296" s="53"/>
      <c r="W296" s="53"/>
      <c r="X296" s="53"/>
      <c r="Y296" s="51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1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198"/>
    </row>
    <row r="297" spans="1:59" s="33" customFormat="1" ht="61.5" hidden="1" customHeight="1" x14ac:dyDescent="0.3">
      <c r="A297" s="27" t="str">
        <f t="shared" si="41"/>
        <v/>
      </c>
      <c r="B297" s="28" t="s">
        <v>181</v>
      </c>
      <c r="C297" s="28"/>
      <c r="D297" s="279" t="s">
        <v>95</v>
      </c>
      <c r="E297" s="275" t="s">
        <v>96</v>
      </c>
      <c r="F297" s="279" t="s">
        <v>153</v>
      </c>
      <c r="G297" s="394"/>
      <c r="H297" s="197"/>
      <c r="I297" s="100"/>
      <c r="J297" s="136">
        <f t="shared" si="42"/>
        <v>0</v>
      </c>
      <c r="K297" s="81"/>
      <c r="L297" s="49"/>
      <c r="M297" s="49"/>
      <c r="N297" s="50"/>
      <c r="O297" s="52"/>
      <c r="P297" s="53"/>
      <c r="Q297" s="53"/>
      <c r="R297" s="53"/>
      <c r="S297" s="53"/>
      <c r="T297" s="53"/>
      <c r="U297" s="53"/>
      <c r="V297" s="53"/>
      <c r="W297" s="53"/>
      <c r="X297" s="53"/>
      <c r="Y297" s="51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1"/>
      <c r="BG297" s="107"/>
    </row>
    <row r="298" spans="1:59" s="33" customFormat="1" ht="41.25" hidden="1" customHeight="1" x14ac:dyDescent="0.3">
      <c r="A298" s="27" t="str">
        <f t="shared" si="41"/>
        <v/>
      </c>
      <c r="B298" s="28" t="s">
        <v>181</v>
      </c>
      <c r="C298" s="28"/>
      <c r="D298" s="289"/>
      <c r="E298" s="288"/>
      <c r="F298" s="289"/>
      <c r="G298" s="219" t="s">
        <v>217</v>
      </c>
      <c r="H298" s="290"/>
      <c r="I298" s="122"/>
      <c r="J298" s="136">
        <f t="shared" si="42"/>
        <v>0</v>
      </c>
      <c r="K298" s="83"/>
      <c r="L298" s="83"/>
      <c r="M298" s="83"/>
      <c r="N298" s="50"/>
      <c r="O298" s="52"/>
      <c r="P298" s="53"/>
      <c r="Q298" s="53"/>
      <c r="R298" s="53"/>
      <c r="S298" s="53"/>
      <c r="T298" s="53"/>
      <c r="U298" s="53"/>
      <c r="V298" s="53"/>
      <c r="W298" s="53"/>
      <c r="X298" s="53"/>
      <c r="Y298" s="51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1"/>
      <c r="BG298" s="107"/>
    </row>
    <row r="299" spans="1:59" s="33" customFormat="1" ht="38.25" hidden="1" customHeight="1" x14ac:dyDescent="0.25">
      <c r="A299" s="27" t="str">
        <f t="shared" si="41"/>
        <v/>
      </c>
      <c r="B299" s="28" t="s">
        <v>181</v>
      </c>
      <c r="C299" s="28"/>
      <c r="D299" s="279">
        <v>1217366</v>
      </c>
      <c r="E299" s="275">
        <v>7366</v>
      </c>
      <c r="F299" s="279" t="s">
        <v>153</v>
      </c>
      <c r="G299" s="394" t="s">
        <v>105</v>
      </c>
      <c r="H299" s="265"/>
      <c r="I299" s="123"/>
      <c r="J299" s="136">
        <f t="shared" si="42"/>
        <v>0</v>
      </c>
      <c r="K299" s="49"/>
      <c r="L299" s="49">
        <f>400000+4316635+863327-5179962-400000</f>
        <v>0</v>
      </c>
      <c r="M299" s="49">
        <f>400000+4316635+863327-5179962-400000</f>
        <v>0</v>
      </c>
      <c r="N299" s="50"/>
      <c r="O299" s="52"/>
      <c r="P299" s="53"/>
      <c r="Q299" s="53"/>
      <c r="R299" s="53"/>
      <c r="S299" s="53"/>
      <c r="T299" s="53"/>
      <c r="U299" s="53"/>
      <c r="V299" s="53"/>
      <c r="W299" s="53"/>
      <c r="X299" s="53"/>
      <c r="Y299" s="51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1"/>
      <c r="BG299" s="107"/>
    </row>
    <row r="300" spans="1:59" s="33" customFormat="1" ht="41.25" hidden="1" customHeight="1" x14ac:dyDescent="0.3">
      <c r="A300" s="27" t="str">
        <f t="shared" si="41"/>
        <v/>
      </c>
      <c r="B300" s="28" t="s">
        <v>181</v>
      </c>
      <c r="C300" s="28"/>
      <c r="D300" s="289"/>
      <c r="E300" s="288"/>
      <c r="F300" s="289"/>
      <c r="G300" s="219" t="s">
        <v>217</v>
      </c>
      <c r="H300" s="290"/>
      <c r="I300" s="122"/>
      <c r="J300" s="135">
        <f t="shared" si="42"/>
        <v>0</v>
      </c>
      <c r="K300" s="83"/>
      <c r="L300" s="83">
        <f>4316635+863327-5179962</f>
        <v>0</v>
      </c>
      <c r="M300" s="83">
        <f>4316635+863327-5179962</f>
        <v>0</v>
      </c>
      <c r="N300" s="50"/>
      <c r="O300" s="52"/>
      <c r="P300" s="53"/>
      <c r="Q300" s="53"/>
      <c r="R300" s="53"/>
      <c r="S300" s="53"/>
      <c r="T300" s="53"/>
      <c r="U300" s="53"/>
      <c r="V300" s="53"/>
      <c r="W300" s="53"/>
      <c r="X300" s="53"/>
      <c r="Y300" s="51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1"/>
      <c r="BG300" s="107"/>
    </row>
    <row r="301" spans="1:59" s="197" customFormat="1" ht="54.75" customHeight="1" x14ac:dyDescent="0.3">
      <c r="A301" s="156" t="str">
        <f t="shared" si="41"/>
        <v>п</v>
      </c>
      <c r="B301" s="157" t="s">
        <v>181</v>
      </c>
      <c r="C301" s="28"/>
      <c r="D301" s="188" t="s">
        <v>199</v>
      </c>
      <c r="E301" s="216">
        <v>7461</v>
      </c>
      <c r="F301" s="188" t="s">
        <v>155</v>
      </c>
      <c r="G301" s="276" t="s">
        <v>200</v>
      </c>
      <c r="H301" s="190"/>
      <c r="I301" s="266"/>
      <c r="J301" s="267">
        <f t="shared" si="42"/>
        <v>79243917</v>
      </c>
      <c r="K301" s="268">
        <f>4117429+2331608+199990</f>
        <v>6649027</v>
      </c>
      <c r="L301" s="268">
        <f>1900000+644900+49990+70000000</f>
        <v>72594890</v>
      </c>
      <c r="M301" s="268">
        <f>1900000+644900+49990+70000000</f>
        <v>72594890</v>
      </c>
      <c r="N301" s="50">
        <f>SUM(O301:W301)</f>
        <v>0</v>
      </c>
      <c r="O301" s="52"/>
      <c r="P301" s="53"/>
      <c r="Q301" s="53"/>
      <c r="R301" s="53"/>
      <c r="S301" s="53"/>
      <c r="T301" s="53"/>
      <c r="U301" s="53"/>
      <c r="V301" s="53"/>
      <c r="W301" s="53"/>
      <c r="X301" s="53"/>
      <c r="Y301" s="51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1">
        <f>Y301+N301</f>
        <v>0</v>
      </c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198"/>
    </row>
    <row r="302" spans="1:59" s="235" customFormat="1" ht="27" customHeight="1" thickBot="1" x14ac:dyDescent="0.4">
      <c r="A302" s="213" t="str">
        <f t="shared" ref="A302" si="43">IF(J302=0,"","п")</f>
        <v>п</v>
      </c>
      <c r="B302" s="214" t="s">
        <v>181</v>
      </c>
      <c r="C302" s="101"/>
      <c r="D302" s="289"/>
      <c r="E302" s="288"/>
      <c r="F302" s="289"/>
      <c r="G302" s="486" t="s">
        <v>320</v>
      </c>
      <c r="H302" s="286"/>
      <c r="I302" s="291"/>
      <c r="J302" s="292">
        <f t="shared" si="42"/>
        <v>70000000</v>
      </c>
      <c r="K302" s="293"/>
      <c r="L302" s="293">
        <v>70000000</v>
      </c>
      <c r="M302" s="293">
        <v>70000000</v>
      </c>
      <c r="N302" s="95"/>
      <c r="O302" s="96"/>
      <c r="P302" s="97"/>
      <c r="Q302" s="97"/>
      <c r="R302" s="97"/>
      <c r="S302" s="97"/>
      <c r="T302" s="97"/>
      <c r="U302" s="97"/>
      <c r="V302" s="97"/>
      <c r="W302" s="97"/>
      <c r="X302" s="97"/>
      <c r="Y302" s="98"/>
      <c r="Z302" s="97"/>
      <c r="AA302" s="97"/>
      <c r="AB302" s="97"/>
      <c r="AC302" s="97"/>
      <c r="AD302" s="97"/>
      <c r="AE302" s="97"/>
      <c r="AF302" s="97"/>
      <c r="AG302" s="97"/>
      <c r="AH302" s="97"/>
      <c r="AI302" s="97"/>
      <c r="AJ302" s="97"/>
      <c r="AK302" s="98"/>
      <c r="AL302" s="87"/>
      <c r="AM302" s="87"/>
      <c r="AN302" s="87"/>
      <c r="AO302" s="87"/>
      <c r="AP302" s="87"/>
      <c r="AQ302" s="87"/>
      <c r="AR302" s="87"/>
      <c r="AS302" s="87"/>
      <c r="AT302" s="87"/>
      <c r="AU302" s="87"/>
      <c r="AV302" s="87"/>
      <c r="AW302" s="87"/>
      <c r="AX302" s="87"/>
      <c r="AY302" s="87"/>
      <c r="AZ302" s="87"/>
      <c r="BA302" s="87"/>
      <c r="BB302" s="87"/>
      <c r="BC302" s="87"/>
      <c r="BD302" s="87"/>
      <c r="BE302" s="87"/>
      <c r="BF302" s="87"/>
      <c r="BG302" s="487"/>
    </row>
    <row r="303" spans="1:59" s="44" customFormat="1" ht="20.25" hidden="1" thickBot="1" x14ac:dyDescent="0.3">
      <c r="A303" s="27" t="str">
        <f t="shared" si="41"/>
        <v/>
      </c>
      <c r="B303" s="28" t="s">
        <v>182</v>
      </c>
      <c r="C303" s="28"/>
      <c r="D303" s="200" t="s">
        <v>244</v>
      </c>
      <c r="E303" s="200"/>
      <c r="F303" s="200"/>
      <c r="G303" s="201" t="s">
        <v>245</v>
      </c>
      <c r="H303" s="271"/>
      <c r="I303" s="119"/>
      <c r="J303" s="62">
        <f t="shared" si="42"/>
        <v>0</v>
      </c>
      <c r="K303" s="62">
        <f>+K304</f>
        <v>0</v>
      </c>
      <c r="L303" s="62">
        <f>+L304</f>
        <v>0</v>
      </c>
      <c r="M303" s="62">
        <f>+M304</f>
        <v>0</v>
      </c>
      <c r="N303" s="30">
        <f>SUM(O303:W303)</f>
        <v>0</v>
      </c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32"/>
      <c r="Z303" s="63"/>
      <c r="AA303" s="63"/>
      <c r="AB303" s="63"/>
      <c r="AC303" s="63"/>
      <c r="AD303" s="63"/>
      <c r="AE303" s="63"/>
      <c r="AF303" s="63"/>
      <c r="AG303" s="63"/>
      <c r="AH303" s="63"/>
      <c r="AI303" s="63"/>
      <c r="AJ303" s="63"/>
      <c r="AK303" s="32">
        <f>Y303+N303</f>
        <v>0</v>
      </c>
      <c r="BG303" s="107"/>
    </row>
    <row r="304" spans="1:59" s="44" customFormat="1" ht="20.25" hidden="1" thickBot="1" x14ac:dyDescent="0.3">
      <c r="A304" s="27" t="str">
        <f t="shared" si="41"/>
        <v/>
      </c>
      <c r="B304" s="28" t="s">
        <v>182</v>
      </c>
      <c r="C304" s="28"/>
      <c r="D304" s="200" t="s">
        <v>246</v>
      </c>
      <c r="E304" s="200"/>
      <c r="F304" s="200"/>
      <c r="G304" s="201" t="s">
        <v>245</v>
      </c>
      <c r="H304" s="271"/>
      <c r="I304" s="119"/>
      <c r="J304" s="62">
        <f>+K304+L304</f>
        <v>0</v>
      </c>
      <c r="K304" s="62">
        <f>SUM(K305)</f>
        <v>0</v>
      </c>
      <c r="L304" s="62">
        <f>SUM(L305)</f>
        <v>0</v>
      </c>
      <c r="M304" s="62">
        <f>SUM(M305)</f>
        <v>0</v>
      </c>
      <c r="N304" s="30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32"/>
      <c r="Z304" s="63"/>
      <c r="AA304" s="63"/>
      <c r="AB304" s="63"/>
      <c r="AC304" s="63"/>
      <c r="AD304" s="63"/>
      <c r="AE304" s="63"/>
      <c r="AF304" s="63"/>
      <c r="AG304" s="63"/>
      <c r="AH304" s="63"/>
      <c r="AI304" s="63"/>
      <c r="AJ304" s="63"/>
      <c r="AK304" s="32"/>
      <c r="BG304" s="107"/>
    </row>
    <row r="305" spans="1:59" s="33" customFormat="1" ht="57.75" hidden="1" customHeight="1" x14ac:dyDescent="0.25">
      <c r="A305" s="27" t="str">
        <f t="shared" si="41"/>
        <v/>
      </c>
      <c r="B305" s="28" t="s">
        <v>182</v>
      </c>
      <c r="C305" s="28"/>
      <c r="D305" s="212" t="s">
        <v>247</v>
      </c>
      <c r="E305" s="188" t="s">
        <v>92</v>
      </c>
      <c r="F305" s="188" t="s">
        <v>93</v>
      </c>
      <c r="G305" s="394" t="s">
        <v>94</v>
      </c>
      <c r="H305" s="265"/>
      <c r="I305" s="123"/>
      <c r="J305" s="136">
        <f>+K305+L305</f>
        <v>0</v>
      </c>
      <c r="K305" s="49"/>
      <c r="L305" s="49"/>
      <c r="M305" s="49"/>
      <c r="N305" s="30">
        <f>SUM(O305:W305)</f>
        <v>0</v>
      </c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2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2">
        <f>Y305+N305</f>
        <v>0</v>
      </c>
      <c r="BG305" s="107"/>
    </row>
    <row r="306" spans="1:59" s="87" customFormat="1" ht="42" hidden="1" customHeight="1" thickBot="1" x14ac:dyDescent="0.35">
      <c r="A306" s="27" t="str">
        <f t="shared" si="41"/>
        <v/>
      </c>
      <c r="B306" s="101" t="s">
        <v>182</v>
      </c>
      <c r="C306" s="104"/>
      <c r="D306" s="468"/>
      <c r="E306" s="217"/>
      <c r="F306" s="218"/>
      <c r="G306" s="219" t="s">
        <v>22</v>
      </c>
      <c r="H306" s="286"/>
      <c r="I306" s="125"/>
      <c r="J306" s="130">
        <f>+K306+L306</f>
        <v>0</v>
      </c>
      <c r="K306" s="34"/>
      <c r="L306" s="34"/>
      <c r="M306" s="34"/>
      <c r="N306" s="106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8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  <c r="AK306" s="88"/>
      <c r="BG306" s="107"/>
    </row>
    <row r="307" spans="1:59" s="304" customFormat="1" ht="19.5" thickBot="1" x14ac:dyDescent="0.35">
      <c r="A307" s="156" t="str">
        <f t="shared" si="41"/>
        <v>п</v>
      </c>
      <c r="B307" s="157"/>
      <c r="C307" s="28"/>
      <c r="D307" s="509" t="s">
        <v>4</v>
      </c>
      <c r="E307" s="510"/>
      <c r="F307" s="510"/>
      <c r="G307" s="511"/>
      <c r="H307" s="295"/>
      <c r="I307" s="296"/>
      <c r="J307" s="297">
        <f>+K307+L307</f>
        <v>225133897.10000002</v>
      </c>
      <c r="K307" s="297">
        <f>+K8+K23+K32+K40+K44+K51+K56+K70+K77+K111+K133+K137+K141+K145+K155+K184+K189+K193+K197+K201+K205+K209+K215+K219+K223+K228+K36+K129</f>
        <v>109667205.81</v>
      </c>
      <c r="L307" s="297">
        <f>+L8+L23+L32+L40+L44+L51+L56+L70+L77+L111+L133+L137+L141+L145+L155+L184+L189+L193+L197+L201+L205+L209+L215+L219+L223+L228+L36+L129</f>
        <v>115466691.29000001</v>
      </c>
      <c r="M307" s="297">
        <f>+M8+M23+M32+M40+M44+M51+M56+M70+M77+M111+M133+M137+M141+M145+M155+M184+M189+M193+M197+M201+M205+M209+M215+M219+M223+M228+M36+M129</f>
        <v>115346691.29000001</v>
      </c>
      <c r="N307" s="54" t="e">
        <f>N8+N23+#REF!+N40+N51+N56+N77+#REF!+N111+#REF!+N155+N184+N133+N137+N193+#REF!+N70+N223+N228</f>
        <v>#REF!</v>
      </c>
      <c r="O307" s="55" t="e">
        <f>O8+O23+#REF!+O40+O51+O56+O77+#REF!+O111+#REF!+O155+O184+O133+O137+O193+#REF!+O70+O223+O228</f>
        <v>#REF!</v>
      </c>
      <c r="P307" s="55" t="e">
        <f>P8+P23+#REF!+P40+P51+P56+P77+#REF!+P111+#REF!+P155+P184+P133+P137+P193+#REF!+P70+P223+P228</f>
        <v>#REF!</v>
      </c>
      <c r="Q307" s="55" t="e">
        <f>Q8+Q23+#REF!+Q40+Q51+Q56+Q77+#REF!+Q111+#REF!+Q155+Q184+Q133+Q137+Q193+#REF!+Q70+Q223+Q228</f>
        <v>#REF!</v>
      </c>
      <c r="R307" s="55" t="e">
        <f>R8+R23+#REF!+R40+R51+R56+R77+#REF!+R111+#REF!+R155+R184+R133+R137+R193+#REF!+R70+R223+R228</f>
        <v>#REF!</v>
      </c>
      <c r="S307" s="55" t="e">
        <f>S8+S23+#REF!+S40+S51+S56+S77+#REF!+S111+#REF!+S155+S184+S133+S137+S193+#REF!+S70+S223+S228</f>
        <v>#REF!</v>
      </c>
      <c r="T307" s="55" t="e">
        <f>T8+T23+#REF!+T40+T51+T56+T77+#REF!+T111+#REF!+T155+T184+T133+T137+T193+#REF!+T70+T223+T228</f>
        <v>#REF!</v>
      </c>
      <c r="U307" s="55" t="e">
        <f>U8+U23+#REF!+U40+U51+U56+U77+#REF!+U111+#REF!+U155+U184+U133+U137+U193+#REF!+U70+U223+U228</f>
        <v>#REF!</v>
      </c>
      <c r="V307" s="55" t="e">
        <f>V8+V23+#REF!+V40+V51+V56+V77+#REF!+V111+#REF!+V155+V184+V133+V137+V193+#REF!+V70+V223+V228</f>
        <v>#REF!</v>
      </c>
      <c r="W307" s="55" t="e">
        <f>W8+W23+#REF!+W40+W51+W56+W77+#REF!+W111+#REF!+W155+W184+W133+W137+W193+#REF!+W70+W223+W228</f>
        <v>#REF!</v>
      </c>
      <c r="X307" s="55" t="e">
        <f>X8+X23+#REF!+X40+X51+X56+X77+#REF!+X111+#REF!+X155+X184+X133+X137+X193+#REF!+X70+X223+X228</f>
        <v>#REF!</v>
      </c>
      <c r="Y307" s="55" t="e">
        <f>Y8+Y23+#REF!+Y40+Y51+Y56+Y77+#REF!+Y111+#REF!+Y155+Y184+Y133+Y137+Y193+#REF!+Y70+Y223+Y228</f>
        <v>#REF!</v>
      </c>
      <c r="Z307" s="55" t="e">
        <f>Z8+Z23+#REF!+Z40+Z51+Z56+Z77+#REF!+Z111+#REF!+Z155+Z184+Z133+Z137+Z193+#REF!+Z70+Z223+Z228</f>
        <v>#REF!</v>
      </c>
      <c r="AA307" s="55" t="e">
        <f>AA8+AA23+#REF!+AA40+AA51+AA56+AA77+#REF!+AA111+#REF!+AA155+AA184+AA133+AA137+AA193+#REF!+AA70+AA223+AA228</f>
        <v>#REF!</v>
      </c>
      <c r="AB307" s="55" t="e">
        <f>AB8+AB23+#REF!+AB40+AB51+AB56+AB77+#REF!+AB111+#REF!+AB155+AB184+AB133+AB137+AB193+#REF!+AB70+AB223+AB228</f>
        <v>#REF!</v>
      </c>
      <c r="AC307" s="55" t="e">
        <f>AC8+AC23+#REF!+AC40+AC51+AC56+AC77+#REF!+AC111+#REF!+AC155+AC184+AC133+AC137+AC193+#REF!+AC70+AC223+AC228</f>
        <v>#REF!</v>
      </c>
      <c r="AD307" s="55" t="e">
        <f>AD8+AD23+#REF!+AD40+AD51+AD56+AD77+#REF!+AD111+#REF!+AD155+AD184+AD133+AD137+AD193+#REF!+AD70+AD223+AD228</f>
        <v>#REF!</v>
      </c>
      <c r="AE307" s="55" t="e">
        <f>AE8+AE23+#REF!+AE40+AE51+AE56+AE77+#REF!+AE111+#REF!+AE155+AE184+AE133+AE137+AE193+#REF!+AE70+AE223+AE228</f>
        <v>#REF!</v>
      </c>
      <c r="AF307" s="55" t="e">
        <f>AF8+AF23+#REF!+AF40+AF51+AF56+AF77+#REF!+AF111+#REF!+AF155+AF184+AF133+AF137+AF193+#REF!+AF70+AF223+AF228</f>
        <v>#REF!</v>
      </c>
      <c r="AG307" s="55" t="e">
        <f>AG8+AG23+#REF!+AG40+AG51+AG56+AG77+#REF!+AG111+#REF!+AG155+AG184+AG133+AG137+AG193+#REF!+AG70+AG223+AG228</f>
        <v>#REF!</v>
      </c>
      <c r="AH307" s="55" t="e">
        <f>AH8+AH23+#REF!+AH40+AH51+AH56+AH77+#REF!+AH111+#REF!+AH155+AH184+AH133+AH137+AH193+#REF!+AH70+AH223+AH228</f>
        <v>#REF!</v>
      </c>
      <c r="AI307" s="55" t="e">
        <f>AI8+AI23+#REF!+AI40+AI51+AI56+AI77+#REF!+AI111+#REF!+AI155+AI184+AI133+AI137+AI193+#REF!+AI70+AI223+AI228</f>
        <v>#REF!</v>
      </c>
      <c r="AJ307" s="55" t="e">
        <f>AJ8+AJ23+#REF!+AJ40+AJ51+AJ56+AJ77+#REF!+AJ111+#REF!+AJ155+AJ184+AJ133+AJ137+AJ193+#REF!+AJ70+AJ223+AJ228</f>
        <v>#REF!</v>
      </c>
      <c r="AK307" s="55" t="e">
        <f>AK8+AK23+#REF!+AK40+AK51+AK56+AK77+#REF!+AK111+#REF!+AK155+AK184+AK133+AK137+AK193+#REF!+AK70+AK223+AK228</f>
        <v>#REF!</v>
      </c>
      <c r="AL307" s="56"/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56"/>
      <c r="AZ307" s="56"/>
      <c r="BA307" s="56"/>
      <c r="BB307" s="56"/>
      <c r="BC307" s="56"/>
      <c r="BD307" s="56"/>
      <c r="BE307" s="56"/>
      <c r="BF307" s="56"/>
      <c r="BG307" s="198"/>
    </row>
    <row r="308" spans="1:59" s="302" customFormat="1" ht="18.75" x14ac:dyDescent="0.3">
      <c r="A308" s="156" t="s">
        <v>12</v>
      </c>
      <c r="B308" s="294"/>
      <c r="C308" s="8"/>
      <c r="D308" s="471"/>
      <c r="E308" s="298"/>
      <c r="F308" s="298"/>
      <c r="G308" s="299"/>
      <c r="H308" s="300"/>
      <c r="I308" s="301"/>
      <c r="J308" s="300"/>
      <c r="M308" s="303"/>
      <c r="N308" s="11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10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10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198"/>
    </row>
    <row r="309" spans="1:59" s="9" customFormat="1" ht="18" hidden="1" x14ac:dyDescent="0.25">
      <c r="A309" s="27"/>
      <c r="B309" s="8"/>
      <c r="C309" s="8"/>
      <c r="D309" s="471"/>
      <c r="E309" s="298"/>
      <c r="F309" s="298"/>
      <c r="G309" s="299"/>
      <c r="H309" s="300"/>
      <c r="I309" s="142"/>
      <c r="J309" s="108"/>
      <c r="M309" s="12"/>
      <c r="N309" s="11"/>
      <c r="Y309" s="10"/>
      <c r="AK309" s="10"/>
      <c r="BG309" s="107"/>
    </row>
    <row r="310" spans="1:59" s="360" customFormat="1" ht="48.75" customHeight="1" x14ac:dyDescent="0.3">
      <c r="A310" s="357" t="s">
        <v>12</v>
      </c>
      <c r="B310" s="358"/>
      <c r="C310" s="8"/>
      <c r="D310" s="471"/>
      <c r="E310" s="359" t="s">
        <v>331</v>
      </c>
      <c r="F310" s="359"/>
      <c r="H310" s="359"/>
      <c r="I310" s="361"/>
      <c r="J310" s="359"/>
      <c r="K310" s="362"/>
      <c r="L310" s="356" t="s">
        <v>332</v>
      </c>
      <c r="M310" s="359"/>
      <c r="N310" s="11"/>
      <c r="O310" s="12"/>
      <c r="P310" s="9"/>
      <c r="Q310" s="9"/>
      <c r="R310" s="9"/>
      <c r="S310" s="9"/>
      <c r="T310" s="9"/>
      <c r="U310" s="9"/>
      <c r="V310" s="12"/>
      <c r="W310" s="9"/>
      <c r="X310" s="9"/>
      <c r="Y310" s="10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10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363"/>
    </row>
    <row r="311" spans="1:59" s="44" customFormat="1" ht="18.75" hidden="1" x14ac:dyDescent="0.3">
      <c r="B311" s="28"/>
      <c r="C311" s="28"/>
      <c r="D311" s="472"/>
      <c r="E311" s="197" t="s">
        <v>146</v>
      </c>
      <c r="F311" s="197"/>
      <c r="G311" s="439"/>
      <c r="H311" s="440"/>
      <c r="I311" s="441"/>
      <c r="J311" s="440"/>
      <c r="K311" s="440"/>
      <c r="L311" s="440" t="s">
        <v>303</v>
      </c>
      <c r="M311" s="440"/>
      <c r="N311" s="57"/>
      <c r="BG311" s="107"/>
    </row>
    <row r="312" spans="1:59" s="44" customFormat="1" ht="18.75" hidden="1" x14ac:dyDescent="0.3">
      <c r="B312" s="28"/>
      <c r="C312" s="28"/>
      <c r="D312" s="472"/>
      <c r="E312" s="197" t="s">
        <v>301</v>
      </c>
      <c r="F312" s="197"/>
      <c r="G312" s="442"/>
      <c r="H312" s="443"/>
      <c r="I312" s="444"/>
      <c r="J312" s="443"/>
      <c r="K312" s="443"/>
      <c r="L312" s="440" t="s">
        <v>302</v>
      </c>
      <c r="M312" s="443"/>
      <c r="N312" s="57"/>
      <c r="BG312" s="107"/>
    </row>
    <row r="313" spans="1:59" s="44" customFormat="1" ht="24" hidden="1" customHeight="1" x14ac:dyDescent="0.3">
      <c r="B313" s="28"/>
      <c r="C313" s="28"/>
      <c r="D313" s="472"/>
      <c r="E313" s="457"/>
      <c r="F313" s="199"/>
      <c r="G313" s="452"/>
      <c r="H313" s="380"/>
      <c r="I313" s="139"/>
      <c r="J313" s="109"/>
      <c r="L313" s="107"/>
      <c r="M313" s="107"/>
      <c r="N313" s="57"/>
      <c r="BG313" s="107"/>
    </row>
    <row r="314" spans="1:59" s="9" customFormat="1" ht="18" hidden="1" x14ac:dyDescent="0.25">
      <c r="B314" s="8"/>
      <c r="C314" s="23"/>
      <c r="D314" s="473"/>
      <c r="E314" s="302"/>
      <c r="F314" s="302"/>
      <c r="G314" s="299"/>
      <c r="H314" s="166"/>
      <c r="I314" s="142"/>
      <c r="J314" s="58"/>
      <c r="N314" s="11"/>
      <c r="Y314" s="10"/>
      <c r="AK314" s="10"/>
      <c r="BG314" s="107"/>
    </row>
    <row r="315" spans="1:59" s="13" customFormat="1" ht="18" hidden="1" x14ac:dyDescent="0.25">
      <c r="A315" s="8"/>
      <c r="B315" s="8"/>
      <c r="C315" s="24"/>
      <c r="D315" s="474"/>
      <c r="E315" s="373"/>
      <c r="F315" s="373"/>
      <c r="G315" s="453"/>
      <c r="H315" s="381"/>
      <c r="I315" s="144"/>
      <c r="J315" s="59"/>
      <c r="K315" s="16"/>
      <c r="L315" s="16"/>
      <c r="M315" s="16"/>
      <c r="N315" s="14"/>
      <c r="Y315" s="15"/>
      <c r="AK315" s="15"/>
      <c r="BG315" s="107"/>
    </row>
    <row r="316" spans="1:59" s="302" customFormat="1" ht="18.75" x14ac:dyDescent="0.3">
      <c r="A316" s="294"/>
      <c r="B316" s="294"/>
      <c r="C316" s="23"/>
      <c r="D316" s="473"/>
      <c r="G316" s="309"/>
      <c r="H316" s="310"/>
      <c r="I316" s="301"/>
      <c r="J316" s="310"/>
      <c r="K316" s="311"/>
      <c r="L316" s="311"/>
      <c r="M316" s="311"/>
      <c r="N316" s="11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10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10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198"/>
    </row>
    <row r="317" spans="1:59" s="312" customFormat="1" ht="18.75" hidden="1" x14ac:dyDescent="0.3">
      <c r="A317" s="305"/>
      <c r="B317" s="305"/>
      <c r="C317" s="77"/>
      <c r="D317" s="475"/>
      <c r="G317" s="313" t="s">
        <v>19</v>
      </c>
      <c r="H317" s="314"/>
      <c r="I317" s="315"/>
      <c r="J317" s="316">
        <v>118274701</v>
      </c>
      <c r="K317" s="317">
        <v>81528252</v>
      </c>
      <c r="L317" s="317">
        <v>36746449</v>
      </c>
      <c r="M317" s="317">
        <v>36626449</v>
      </c>
      <c r="N317" s="80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9"/>
      <c r="Z317" s="78"/>
      <c r="AA317" s="78"/>
      <c r="AB317" s="78"/>
      <c r="AC317" s="78"/>
      <c r="AD317" s="78"/>
      <c r="AE317" s="78"/>
      <c r="AF317" s="78"/>
      <c r="AG317" s="78"/>
      <c r="AH317" s="78"/>
      <c r="AI317" s="78"/>
      <c r="AJ317" s="78"/>
      <c r="AK317" s="79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  <c r="AV317" s="78"/>
      <c r="AW317" s="78"/>
      <c r="AX317" s="78"/>
      <c r="AY317" s="78"/>
      <c r="AZ317" s="78"/>
      <c r="BA317" s="78"/>
      <c r="BB317" s="78"/>
      <c r="BC317" s="78"/>
      <c r="BD317" s="78"/>
      <c r="BE317" s="78"/>
      <c r="BF317" s="78"/>
      <c r="BG317" s="198"/>
    </row>
    <row r="318" spans="1:59" s="302" customFormat="1" ht="18.75" hidden="1" x14ac:dyDescent="0.3">
      <c r="A318" s="294"/>
      <c r="B318" s="294"/>
      <c r="C318" s="25"/>
      <c r="D318" s="473"/>
      <c r="G318" s="309"/>
      <c r="H318" s="310"/>
      <c r="I318" s="301"/>
      <c r="J318" s="310"/>
      <c r="K318" s="311"/>
      <c r="L318" s="303"/>
      <c r="M318" s="311"/>
      <c r="N318" s="18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9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9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98"/>
    </row>
    <row r="319" spans="1:59" s="318" customFormat="1" ht="18.75" hidden="1" x14ac:dyDescent="0.3">
      <c r="A319" s="306"/>
      <c r="B319" s="306"/>
      <c r="C319" s="73"/>
      <c r="D319" s="476"/>
      <c r="G319" s="319" t="s">
        <v>6</v>
      </c>
      <c r="H319" s="320"/>
      <c r="I319" s="321"/>
      <c r="J319" s="322">
        <f>+J307-J317</f>
        <v>106859196.10000002</v>
      </c>
      <c r="K319" s="322">
        <f>+K307-K317</f>
        <v>28138953.810000002</v>
      </c>
      <c r="L319" s="322">
        <f>+L307-L317</f>
        <v>78720242.290000007</v>
      </c>
      <c r="M319" s="322">
        <f>+M307-M317</f>
        <v>78720242.290000007</v>
      </c>
      <c r="N319" s="75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6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6"/>
      <c r="AL319" s="74"/>
      <c r="AM319" s="74"/>
      <c r="AN319" s="74"/>
      <c r="AO319" s="74"/>
      <c r="AP319" s="74"/>
      <c r="AQ319" s="74"/>
      <c r="AR319" s="74"/>
      <c r="AS319" s="74"/>
      <c r="AT319" s="74"/>
      <c r="AU319" s="74"/>
      <c r="AV319" s="74"/>
      <c r="AW319" s="74"/>
      <c r="AX319" s="74"/>
      <c r="AY319" s="74"/>
      <c r="AZ319" s="74"/>
      <c r="BA319" s="74"/>
      <c r="BB319" s="74"/>
      <c r="BC319" s="74"/>
      <c r="BD319" s="74"/>
      <c r="BE319" s="74"/>
      <c r="BF319" s="74"/>
      <c r="BG319" s="198"/>
    </row>
    <row r="320" spans="1:59" s="302" customFormat="1" ht="18.75" hidden="1" x14ac:dyDescent="0.3">
      <c r="A320" s="307"/>
      <c r="B320" s="307"/>
      <c r="C320" s="26"/>
      <c r="D320" s="473"/>
      <c r="G320" s="299"/>
      <c r="H320" s="310"/>
      <c r="I320" s="301"/>
      <c r="J320" s="303"/>
      <c r="K320" s="303"/>
      <c r="L320" s="303"/>
      <c r="N320" s="72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198"/>
    </row>
    <row r="321" spans="1:59" s="323" customFormat="1" ht="18.75" hidden="1" x14ac:dyDescent="0.3">
      <c r="A321" s="308"/>
      <c r="B321" s="308"/>
      <c r="C321" s="26"/>
      <c r="D321" s="477"/>
      <c r="G321" s="324"/>
      <c r="H321" s="325" t="s">
        <v>176</v>
      </c>
      <c r="I321" s="326"/>
      <c r="J321" s="327">
        <f>J319-J322</f>
        <v>103934738.10000002</v>
      </c>
      <c r="K321" s="327">
        <f>K319-K322</f>
        <v>27913495.810000002</v>
      </c>
      <c r="L321" s="327">
        <f>L319-L322</f>
        <v>76021242.290000007</v>
      </c>
      <c r="M321" s="327">
        <f>M319-M322</f>
        <v>76021242.290000007</v>
      </c>
      <c r="N321" s="20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198"/>
    </row>
    <row r="322" spans="1:59" s="302" customFormat="1" ht="18.75" hidden="1" x14ac:dyDescent="0.3">
      <c r="A322" s="307"/>
      <c r="B322" s="307"/>
      <c r="C322" s="26"/>
      <c r="D322" s="473"/>
      <c r="G322" s="299"/>
      <c r="H322" s="328" t="s">
        <v>23</v>
      </c>
      <c r="I322" s="329"/>
      <c r="J322" s="330">
        <f>K322+L322</f>
        <v>2924458</v>
      </c>
      <c r="K322" s="331">
        <f>SUM(K323:K355)</f>
        <v>225458</v>
      </c>
      <c r="L322" s="331">
        <f>SUM(L323:L355)</f>
        <v>2699000</v>
      </c>
      <c r="M322" s="331">
        <f>SUM(M323:M355)</f>
        <v>2699000</v>
      </c>
      <c r="N322" s="20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198"/>
    </row>
    <row r="323" spans="1:59" s="302" customFormat="1" ht="18.75" hidden="1" x14ac:dyDescent="0.3">
      <c r="A323" s="307"/>
      <c r="B323" s="307"/>
      <c r="C323" s="26"/>
      <c r="D323" s="473"/>
      <c r="G323" s="299"/>
      <c r="H323" s="310"/>
      <c r="I323" s="332"/>
      <c r="J323" s="330">
        <f t="shared" ref="J323:J354" si="44">K323+L323</f>
        <v>1470124</v>
      </c>
      <c r="K323" s="333">
        <v>20124</v>
      </c>
      <c r="L323" s="333">
        <v>1450000</v>
      </c>
      <c r="M323" s="333">
        <v>1450000</v>
      </c>
      <c r="N323" s="20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198"/>
    </row>
    <row r="324" spans="1:59" s="302" customFormat="1" ht="18.75" hidden="1" x14ac:dyDescent="0.3">
      <c r="A324" s="307"/>
      <c r="B324" s="307"/>
      <c r="C324" s="26"/>
      <c r="D324" s="473"/>
      <c r="G324" s="299"/>
      <c r="H324" s="310"/>
      <c r="I324" s="334"/>
      <c r="J324" s="330">
        <f t="shared" si="44"/>
        <v>194334</v>
      </c>
      <c r="K324" s="333">
        <v>145334</v>
      </c>
      <c r="L324" s="333">
        <v>49000</v>
      </c>
      <c r="M324" s="333">
        <v>49000</v>
      </c>
      <c r="N324" s="20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198"/>
    </row>
    <row r="325" spans="1:59" s="302" customFormat="1" ht="18.75" hidden="1" x14ac:dyDescent="0.3">
      <c r="A325" s="307"/>
      <c r="B325" s="307"/>
      <c r="C325" s="26"/>
      <c r="D325" s="473"/>
      <c r="G325" s="335"/>
      <c r="H325" s="336">
        <v>168264331.63</v>
      </c>
      <c r="I325" s="334"/>
      <c r="J325" s="330">
        <f t="shared" si="44"/>
        <v>60000</v>
      </c>
      <c r="K325" s="333">
        <v>60000</v>
      </c>
      <c r="L325" s="333"/>
      <c r="M325" s="333"/>
      <c r="N325" s="20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198"/>
    </row>
    <row r="326" spans="1:59" s="302" customFormat="1" ht="18.75" hidden="1" x14ac:dyDescent="0.3">
      <c r="A326" s="307"/>
      <c r="B326" s="307"/>
      <c r="C326" s="26"/>
      <c r="D326" s="473"/>
      <c r="G326" s="335"/>
      <c r="H326" s="336"/>
      <c r="I326" s="334"/>
      <c r="J326" s="330">
        <f t="shared" si="44"/>
        <v>1200000</v>
      </c>
      <c r="K326" s="333"/>
      <c r="L326" s="333">
        <v>1200000</v>
      </c>
      <c r="M326" s="333">
        <v>1200000</v>
      </c>
      <c r="N326" s="20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198"/>
    </row>
    <row r="327" spans="1:59" s="302" customFormat="1" ht="18.75" hidden="1" x14ac:dyDescent="0.3">
      <c r="A327" s="307"/>
      <c r="B327" s="307"/>
      <c r="C327" s="26"/>
      <c r="D327" s="473"/>
      <c r="G327" s="493" t="s">
        <v>297</v>
      </c>
      <c r="H327" s="490">
        <f>+L307-L189-M307</f>
        <v>120000</v>
      </c>
      <c r="I327" s="334"/>
      <c r="J327" s="337">
        <f t="shared" si="44"/>
        <v>0</v>
      </c>
      <c r="K327" s="333"/>
      <c r="L327" s="333"/>
      <c r="M327" s="333"/>
      <c r="N327" s="20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198"/>
    </row>
    <row r="328" spans="1:59" s="302" customFormat="1" ht="18.75" hidden="1" x14ac:dyDescent="0.3">
      <c r="A328" s="307"/>
      <c r="B328" s="307"/>
      <c r="C328" s="26"/>
      <c r="D328" s="473"/>
      <c r="G328" s="494"/>
      <c r="H328" s="491"/>
      <c r="I328" s="338"/>
      <c r="J328" s="330">
        <f t="shared" si="44"/>
        <v>0</v>
      </c>
      <c r="K328" s="339"/>
      <c r="L328" s="340"/>
      <c r="M328" s="340"/>
      <c r="N328" s="20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198"/>
    </row>
    <row r="329" spans="1:59" s="302" customFormat="1" ht="18.75" hidden="1" x14ac:dyDescent="0.3">
      <c r="A329" s="307"/>
      <c r="B329" s="307"/>
      <c r="C329" s="26"/>
      <c r="D329" s="473"/>
      <c r="G329" s="495"/>
      <c r="H329" s="492"/>
      <c r="I329" s="338"/>
      <c r="J329" s="330">
        <f t="shared" si="44"/>
        <v>0</v>
      </c>
      <c r="K329" s="339"/>
      <c r="L329" s="340"/>
      <c r="M329" s="340"/>
      <c r="N329" s="20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198"/>
    </row>
    <row r="330" spans="1:59" s="302" customFormat="1" ht="18.75" hidden="1" x14ac:dyDescent="0.3">
      <c r="A330" s="294"/>
      <c r="B330" s="294"/>
      <c r="C330" s="23"/>
      <c r="D330" s="473"/>
      <c r="G330" s="335"/>
      <c r="H330" s="336"/>
      <c r="I330" s="489"/>
      <c r="J330" s="330">
        <f t="shared" si="44"/>
        <v>0</v>
      </c>
      <c r="K330" s="339"/>
      <c r="L330" s="340"/>
      <c r="M330" s="340"/>
      <c r="N330" s="11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10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10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198"/>
    </row>
    <row r="331" spans="1:59" s="302" customFormat="1" ht="18.75" hidden="1" x14ac:dyDescent="0.3">
      <c r="A331" s="294"/>
      <c r="B331" s="294"/>
      <c r="C331" s="23"/>
      <c r="D331" s="473"/>
      <c r="G331" s="299"/>
      <c r="I331" s="489"/>
      <c r="J331" s="330">
        <f t="shared" si="44"/>
        <v>0</v>
      </c>
      <c r="K331" s="339"/>
      <c r="L331" s="339"/>
      <c r="M331" s="339"/>
      <c r="N331" s="11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10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10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198"/>
    </row>
    <row r="332" spans="1:59" ht="18.75" hidden="1" x14ac:dyDescent="0.3">
      <c r="I332" s="489"/>
      <c r="J332" s="330">
        <f t="shared" si="44"/>
        <v>0</v>
      </c>
      <c r="K332" s="339"/>
      <c r="L332" s="340"/>
      <c r="M332" s="340"/>
      <c r="BG332" s="198"/>
    </row>
    <row r="333" spans="1:59" ht="18.75" hidden="1" x14ac:dyDescent="0.3">
      <c r="H333" s="342"/>
      <c r="I333" s="489"/>
      <c r="J333" s="330">
        <f t="shared" si="44"/>
        <v>0</v>
      </c>
      <c r="K333" s="339"/>
      <c r="L333" s="340"/>
      <c r="M333" s="340"/>
      <c r="BG333" s="198"/>
    </row>
    <row r="334" spans="1:59" ht="18.75" hidden="1" x14ac:dyDescent="0.3">
      <c r="H334" s="342"/>
      <c r="I334" s="489"/>
      <c r="J334" s="330">
        <f t="shared" si="44"/>
        <v>0</v>
      </c>
      <c r="K334" s="339"/>
      <c r="L334" s="340"/>
      <c r="M334" s="340"/>
      <c r="BG334" s="198"/>
    </row>
    <row r="335" spans="1:59" ht="18.75" hidden="1" x14ac:dyDescent="0.3">
      <c r="H335" s="342"/>
      <c r="I335" s="343"/>
      <c r="J335" s="330">
        <f t="shared" si="44"/>
        <v>0</v>
      </c>
      <c r="K335" s="339"/>
      <c r="L335" s="340"/>
      <c r="M335" s="340"/>
      <c r="BG335" s="198"/>
    </row>
    <row r="336" spans="1:59" ht="18.75" hidden="1" x14ac:dyDescent="0.3">
      <c r="H336" s="344"/>
      <c r="I336" s="338"/>
      <c r="J336" s="330">
        <f t="shared" si="44"/>
        <v>0</v>
      </c>
      <c r="K336" s="339"/>
      <c r="L336" s="340"/>
      <c r="M336" s="340"/>
      <c r="BG336" s="198"/>
    </row>
    <row r="337" spans="8:59" ht="18.75" hidden="1" x14ac:dyDescent="0.3">
      <c r="H337" s="342"/>
      <c r="I337" s="343"/>
      <c r="J337" s="330">
        <f t="shared" si="44"/>
        <v>0</v>
      </c>
      <c r="K337" s="339"/>
      <c r="L337" s="340"/>
      <c r="M337" s="340"/>
      <c r="BG337" s="198"/>
    </row>
    <row r="338" spans="8:59" ht="18.75" hidden="1" x14ac:dyDescent="0.3">
      <c r="H338" s="342"/>
      <c r="I338" s="343"/>
      <c r="J338" s="330">
        <f t="shared" si="44"/>
        <v>0</v>
      </c>
      <c r="K338" s="339"/>
      <c r="L338" s="340"/>
      <c r="M338" s="340"/>
      <c r="BG338" s="198"/>
    </row>
    <row r="339" spans="8:59" ht="18.75" hidden="1" x14ac:dyDescent="0.3">
      <c r="H339" s="342"/>
      <c r="I339" s="343"/>
      <c r="J339" s="330">
        <f t="shared" si="44"/>
        <v>0</v>
      </c>
      <c r="K339" s="339"/>
      <c r="L339" s="340"/>
      <c r="M339" s="340"/>
      <c r="BG339" s="198"/>
    </row>
    <row r="340" spans="8:59" ht="18.75" hidden="1" x14ac:dyDescent="0.3">
      <c r="H340" s="342"/>
      <c r="I340" s="345"/>
      <c r="J340" s="346">
        <f t="shared" si="44"/>
        <v>0</v>
      </c>
      <c r="K340" s="347"/>
      <c r="L340" s="339"/>
      <c r="M340" s="339"/>
      <c r="BG340" s="198"/>
    </row>
    <row r="341" spans="8:59" ht="18.75" hidden="1" x14ac:dyDescent="0.3">
      <c r="H341" s="348"/>
      <c r="I341" s="345"/>
      <c r="J341" s="330">
        <f t="shared" si="44"/>
        <v>0</v>
      </c>
      <c r="K341" s="339"/>
      <c r="L341" s="339"/>
      <c r="M341" s="339"/>
      <c r="BG341" s="198"/>
    </row>
    <row r="342" spans="8:59" ht="18.75" hidden="1" x14ac:dyDescent="0.3">
      <c r="H342" s="348"/>
      <c r="I342" s="345"/>
      <c r="J342" s="330">
        <f t="shared" si="44"/>
        <v>0</v>
      </c>
      <c r="K342" s="339"/>
      <c r="L342" s="339"/>
      <c r="M342" s="339"/>
      <c r="BG342" s="198"/>
    </row>
    <row r="343" spans="8:59" ht="18.75" hidden="1" x14ac:dyDescent="0.3">
      <c r="H343" s="348"/>
      <c r="I343" s="345"/>
      <c r="J343" s="330">
        <f t="shared" si="44"/>
        <v>0</v>
      </c>
      <c r="K343" s="339"/>
      <c r="L343" s="339"/>
      <c r="M343" s="339"/>
      <c r="BG343" s="198"/>
    </row>
    <row r="344" spans="8:59" ht="18.75" hidden="1" x14ac:dyDescent="0.3">
      <c r="H344" s="348"/>
      <c r="I344" s="345"/>
      <c r="J344" s="330">
        <f t="shared" si="44"/>
        <v>0</v>
      </c>
      <c r="K344" s="339"/>
      <c r="L344" s="339"/>
      <c r="M344" s="339"/>
      <c r="BG344" s="198"/>
    </row>
    <row r="345" spans="8:59" ht="18.75" hidden="1" x14ac:dyDescent="0.3">
      <c r="H345" s="348"/>
      <c r="I345" s="345"/>
      <c r="J345" s="330">
        <f t="shared" si="44"/>
        <v>0</v>
      </c>
      <c r="K345" s="339"/>
      <c r="L345" s="339"/>
      <c r="M345" s="339"/>
      <c r="BG345" s="198"/>
    </row>
    <row r="346" spans="8:59" ht="18.75" hidden="1" x14ac:dyDescent="0.3">
      <c r="H346" s="348"/>
      <c r="I346" s="343"/>
      <c r="J346" s="330">
        <f t="shared" si="44"/>
        <v>0</v>
      </c>
      <c r="K346" s="340"/>
      <c r="L346" s="339"/>
      <c r="M346" s="339"/>
      <c r="BG346" s="198"/>
    </row>
    <row r="347" spans="8:59" ht="18.75" hidden="1" x14ac:dyDescent="0.3">
      <c r="H347" s="348"/>
      <c r="I347" s="519"/>
      <c r="J347" s="330">
        <f t="shared" si="44"/>
        <v>0</v>
      </c>
      <c r="K347" s="340"/>
      <c r="L347" s="339"/>
      <c r="M347" s="339"/>
      <c r="BG347" s="198"/>
    </row>
    <row r="348" spans="8:59" ht="18.75" hidden="1" x14ac:dyDescent="0.3">
      <c r="H348" s="348"/>
      <c r="I348" s="519"/>
      <c r="J348" s="330">
        <f t="shared" si="44"/>
        <v>0</v>
      </c>
      <c r="K348" s="340"/>
      <c r="L348" s="339"/>
      <c r="M348" s="339"/>
      <c r="BG348" s="198"/>
    </row>
    <row r="349" spans="8:59" ht="18.75" hidden="1" x14ac:dyDescent="0.3">
      <c r="H349" s="349"/>
      <c r="I349" s="350"/>
      <c r="J349" s="330">
        <f t="shared" si="44"/>
        <v>0</v>
      </c>
      <c r="K349" s="340"/>
      <c r="L349" s="339"/>
      <c r="M349" s="339"/>
      <c r="BG349" s="198"/>
    </row>
    <row r="350" spans="8:59" ht="18.75" hidden="1" x14ac:dyDescent="0.3">
      <c r="H350" s="351"/>
      <c r="I350" s="350"/>
      <c r="J350" s="330">
        <f t="shared" si="44"/>
        <v>0</v>
      </c>
      <c r="K350" s="340"/>
      <c r="L350" s="339"/>
      <c r="M350" s="339"/>
      <c r="BG350" s="198"/>
    </row>
    <row r="351" spans="8:59" ht="18.75" hidden="1" x14ac:dyDescent="0.3">
      <c r="H351" s="352"/>
      <c r="I351" s="350"/>
      <c r="J351" s="330">
        <f t="shared" si="44"/>
        <v>0</v>
      </c>
      <c r="K351" s="339"/>
      <c r="L351" s="339"/>
      <c r="M351" s="339"/>
      <c r="BG351" s="198"/>
    </row>
    <row r="352" spans="8:59" ht="18.75" hidden="1" x14ac:dyDescent="0.3">
      <c r="H352" s="353"/>
      <c r="I352" s="350"/>
      <c r="J352" s="330">
        <f t="shared" si="44"/>
        <v>0</v>
      </c>
      <c r="K352" s="339"/>
      <c r="L352" s="339"/>
      <c r="M352" s="339"/>
      <c r="BG352" s="198"/>
    </row>
    <row r="353" spans="7:59" ht="18.75" hidden="1" x14ac:dyDescent="0.3">
      <c r="H353" s="353"/>
      <c r="I353" s="350"/>
      <c r="J353" s="330">
        <f t="shared" si="44"/>
        <v>0</v>
      </c>
      <c r="K353" s="339"/>
      <c r="L353" s="339"/>
      <c r="M353" s="339"/>
      <c r="BG353" s="198"/>
    </row>
    <row r="354" spans="7:59" ht="18.75" hidden="1" x14ac:dyDescent="0.3">
      <c r="H354" s="353"/>
      <c r="I354" s="350"/>
      <c r="J354" s="337">
        <f t="shared" si="44"/>
        <v>0</v>
      </c>
      <c r="K354" s="354"/>
      <c r="L354" s="354"/>
      <c r="M354" s="354"/>
      <c r="BG354" s="198"/>
    </row>
    <row r="355" spans="7:59" ht="18.75" hidden="1" x14ac:dyDescent="0.3">
      <c r="H355" s="353"/>
      <c r="I355" s="350"/>
      <c r="J355" s="330">
        <f>K355+L355</f>
        <v>0</v>
      </c>
      <c r="K355" s="339"/>
      <c r="L355" s="339"/>
      <c r="M355" s="339"/>
      <c r="BG355" s="198"/>
    </row>
    <row r="356" spans="7:59" ht="18.75" hidden="1" x14ac:dyDescent="0.3">
      <c r="H356" s="353"/>
      <c r="I356" s="350"/>
      <c r="J356" s="355"/>
      <c r="BG356" s="198"/>
    </row>
    <row r="357" spans="7:59" ht="18.75" hidden="1" x14ac:dyDescent="0.3">
      <c r="I357" s="343"/>
      <c r="J357" s="355"/>
      <c r="BG357" s="198"/>
    </row>
    <row r="358" spans="7:59" ht="18.75" x14ac:dyDescent="0.3">
      <c r="I358" s="343"/>
      <c r="J358" s="355"/>
      <c r="BG358" s="198"/>
    </row>
    <row r="359" spans="7:59" ht="18.75" x14ac:dyDescent="0.3">
      <c r="I359" s="343"/>
      <c r="J359" s="355"/>
      <c r="BG359" s="198"/>
    </row>
    <row r="360" spans="7:59" ht="18.75" x14ac:dyDescent="0.3">
      <c r="I360" s="343"/>
      <c r="J360" s="355"/>
      <c r="BG360" s="198"/>
    </row>
    <row r="361" spans="7:59" ht="18.75" x14ac:dyDescent="0.3">
      <c r="G361" s="313" t="s">
        <v>19</v>
      </c>
      <c r="H361" s="395"/>
      <c r="I361" s="396"/>
      <c r="J361" s="428">
        <v>221395388.10000002</v>
      </c>
      <c r="K361" s="429">
        <v>106322696.81</v>
      </c>
      <c r="L361" s="429">
        <v>115072691.29000001</v>
      </c>
      <c r="M361" s="429">
        <v>114952691.29000001</v>
      </c>
      <c r="BG361" s="198"/>
    </row>
    <row r="362" spans="7:59" ht="18.75" x14ac:dyDescent="0.3">
      <c r="G362" s="309"/>
      <c r="H362" s="397"/>
      <c r="I362" s="142"/>
      <c r="J362" s="430"/>
      <c r="K362" s="431"/>
      <c r="L362" s="432"/>
      <c r="M362" s="431"/>
      <c r="BG362" s="198"/>
    </row>
    <row r="363" spans="7:59" ht="18.75" x14ac:dyDescent="0.3">
      <c r="G363" s="319" t="s">
        <v>6</v>
      </c>
      <c r="H363" s="398"/>
      <c r="I363" s="399"/>
      <c r="J363" s="433">
        <f>J361-J307</f>
        <v>-3738509</v>
      </c>
      <c r="K363" s="433">
        <f>K361-K307</f>
        <v>-3344509</v>
      </c>
      <c r="L363" s="433">
        <f>L361-L307</f>
        <v>-394000</v>
      </c>
      <c r="M363" s="433">
        <f t="shared" ref="M363" si="45">M361-M307</f>
        <v>-394000</v>
      </c>
      <c r="BG363" s="198"/>
    </row>
    <row r="364" spans="7:59" ht="18.75" x14ac:dyDescent="0.3">
      <c r="G364" s="299"/>
      <c r="H364" s="397"/>
      <c r="I364" s="142"/>
      <c r="J364" s="432"/>
      <c r="K364" s="432"/>
      <c r="L364" s="432"/>
      <c r="M364" s="434"/>
      <c r="BG364" s="198"/>
    </row>
    <row r="365" spans="7:59" ht="18.75" x14ac:dyDescent="0.3">
      <c r="G365" s="324"/>
      <c r="H365" s="400" t="s">
        <v>176</v>
      </c>
      <c r="I365" s="401"/>
      <c r="J365" s="435">
        <f>J363+J366</f>
        <v>0</v>
      </c>
      <c r="K365" s="435">
        <f>K363+K366</f>
        <v>0</v>
      </c>
      <c r="L365" s="435">
        <f t="shared" ref="L365:M365" si="46">L363+L366</f>
        <v>0</v>
      </c>
      <c r="M365" s="435">
        <f t="shared" si="46"/>
        <v>0</v>
      </c>
      <c r="BG365" s="198"/>
    </row>
    <row r="366" spans="7:59" ht="18.75" x14ac:dyDescent="0.3">
      <c r="G366" s="299"/>
      <c r="H366" s="402" t="s">
        <v>23</v>
      </c>
      <c r="I366" s="403"/>
      <c r="J366" s="404">
        <f>K366+L366</f>
        <v>3738509</v>
      </c>
      <c r="K366" s="405">
        <f>SUM(K367:K399)</f>
        <v>3344509</v>
      </c>
      <c r="L366" s="405">
        <f>SUM(L367:L399)</f>
        <v>394000</v>
      </c>
      <c r="M366" s="405">
        <f t="shared" ref="M366" si="47">SUM(M367:M399)</f>
        <v>394000</v>
      </c>
      <c r="BG366" s="198"/>
    </row>
    <row r="367" spans="7:59" ht="18.75" x14ac:dyDescent="0.3">
      <c r="G367" s="299"/>
      <c r="H367" s="397"/>
      <c r="I367" s="406"/>
      <c r="J367" s="404">
        <f t="shared" ref="J367:J398" si="48">K367+L367</f>
        <v>1178000</v>
      </c>
      <c r="K367" s="407">
        <v>830000</v>
      </c>
      <c r="L367" s="407">
        <v>348000</v>
      </c>
      <c r="M367" s="407">
        <v>348000</v>
      </c>
      <c r="BG367" s="198"/>
    </row>
    <row r="368" spans="7:59" ht="18.75" x14ac:dyDescent="0.3">
      <c r="G368" s="299"/>
      <c r="H368" s="397"/>
      <c r="I368" s="408"/>
      <c r="J368" s="404">
        <f t="shared" si="48"/>
        <v>723405</v>
      </c>
      <c r="K368" s="407">
        <v>677405</v>
      </c>
      <c r="L368" s="407">
        <v>46000</v>
      </c>
      <c r="M368" s="407">
        <v>46000</v>
      </c>
      <c r="BG368" s="198"/>
    </row>
    <row r="369" spans="7:59" ht="18.75" x14ac:dyDescent="0.3">
      <c r="G369" s="335"/>
      <c r="H369" s="409"/>
      <c r="I369" s="408"/>
      <c r="J369" s="404">
        <f t="shared" si="48"/>
        <v>915502</v>
      </c>
      <c r="K369" s="407">
        <v>915502</v>
      </c>
      <c r="L369" s="407"/>
      <c r="M369" s="407"/>
      <c r="BG369" s="198"/>
    </row>
    <row r="370" spans="7:59" ht="18.75" x14ac:dyDescent="0.3">
      <c r="G370" s="335"/>
      <c r="H370" s="409"/>
      <c r="I370" s="408"/>
      <c r="J370" s="404">
        <f t="shared" si="48"/>
        <v>921602</v>
      </c>
      <c r="K370" s="407">
        <v>921602</v>
      </c>
      <c r="L370" s="407"/>
      <c r="M370" s="407"/>
      <c r="BG370" s="198"/>
    </row>
    <row r="371" spans="7:59" ht="18.75" x14ac:dyDescent="0.3">
      <c r="G371" s="493" t="s">
        <v>297</v>
      </c>
      <c r="H371" s="514">
        <f>+L351-L233-M351</f>
        <v>0</v>
      </c>
      <c r="I371" s="408"/>
      <c r="J371" s="410">
        <f t="shared" si="48"/>
        <v>0</v>
      </c>
      <c r="K371" s="407"/>
      <c r="L371" s="407"/>
      <c r="M371" s="407"/>
      <c r="BG371" s="198"/>
    </row>
    <row r="372" spans="7:59" ht="18.75" x14ac:dyDescent="0.3">
      <c r="G372" s="494"/>
      <c r="H372" s="515"/>
      <c r="I372" s="411"/>
      <c r="J372" s="404">
        <f t="shared" si="48"/>
        <v>0</v>
      </c>
      <c r="K372" s="412"/>
      <c r="L372" s="413"/>
      <c r="M372" s="413"/>
      <c r="BG372" s="198"/>
    </row>
    <row r="373" spans="7:59" ht="18.75" x14ac:dyDescent="0.3">
      <c r="G373" s="495"/>
      <c r="H373" s="516"/>
      <c r="I373" s="411"/>
      <c r="J373" s="404">
        <f t="shared" si="48"/>
        <v>0</v>
      </c>
      <c r="K373" s="412"/>
      <c r="L373" s="413"/>
      <c r="M373" s="413"/>
      <c r="BG373" s="198"/>
    </row>
    <row r="374" spans="7:59" ht="18.75" x14ac:dyDescent="0.3">
      <c r="G374" s="335"/>
      <c r="H374" s="409"/>
      <c r="I374" s="517"/>
      <c r="J374" s="404">
        <f t="shared" si="48"/>
        <v>0</v>
      </c>
      <c r="K374" s="412"/>
      <c r="L374" s="413"/>
      <c r="M374" s="413"/>
      <c r="BG374" s="198"/>
    </row>
    <row r="375" spans="7:59" ht="18.75" x14ac:dyDescent="0.3">
      <c r="G375" s="299"/>
      <c r="H375" s="9"/>
      <c r="I375" s="517"/>
      <c r="J375" s="404">
        <f t="shared" si="48"/>
        <v>0</v>
      </c>
      <c r="K375" s="412"/>
      <c r="L375" s="412"/>
      <c r="M375" s="412"/>
      <c r="BG375" s="198"/>
    </row>
    <row r="376" spans="7:59" ht="18.75" x14ac:dyDescent="0.3">
      <c r="H376" s="414"/>
      <c r="I376" s="517"/>
      <c r="J376" s="404">
        <f t="shared" si="48"/>
        <v>0</v>
      </c>
      <c r="K376" s="412"/>
      <c r="L376" s="413"/>
      <c r="M376" s="413"/>
      <c r="BG376" s="198"/>
    </row>
    <row r="377" spans="7:59" ht="18.75" x14ac:dyDescent="0.3">
      <c r="H377" s="415"/>
      <c r="I377" s="517"/>
      <c r="J377" s="404">
        <f t="shared" si="48"/>
        <v>0</v>
      </c>
      <c r="K377" s="412"/>
      <c r="L377" s="413"/>
      <c r="M377" s="413"/>
      <c r="BG377" s="198"/>
    </row>
    <row r="378" spans="7:59" ht="18.75" x14ac:dyDescent="0.3">
      <c r="H378" s="415"/>
      <c r="I378" s="517"/>
      <c r="J378" s="404">
        <f t="shared" si="48"/>
        <v>0</v>
      </c>
      <c r="K378" s="412"/>
      <c r="L378" s="413"/>
      <c r="M378" s="413"/>
      <c r="BG378" s="198"/>
    </row>
    <row r="379" spans="7:59" ht="18.75" x14ac:dyDescent="0.3">
      <c r="H379" s="415"/>
      <c r="I379" s="416"/>
      <c r="J379" s="404">
        <f t="shared" si="48"/>
        <v>0</v>
      </c>
      <c r="K379" s="412"/>
      <c r="L379" s="413"/>
      <c r="M379" s="413"/>
      <c r="BG379" s="198"/>
    </row>
    <row r="380" spans="7:59" ht="18.75" x14ac:dyDescent="0.3">
      <c r="H380" s="417"/>
      <c r="I380" s="411"/>
      <c r="J380" s="404">
        <f t="shared" si="48"/>
        <v>0</v>
      </c>
      <c r="K380" s="412"/>
      <c r="L380" s="413"/>
      <c r="M380" s="413"/>
      <c r="BG380" s="198"/>
    </row>
    <row r="381" spans="7:59" ht="18.75" x14ac:dyDescent="0.3">
      <c r="H381" s="415"/>
      <c r="I381" s="416"/>
      <c r="J381" s="404">
        <f t="shared" si="48"/>
        <v>0</v>
      </c>
      <c r="K381" s="412"/>
      <c r="L381" s="413"/>
      <c r="M381" s="413"/>
      <c r="BG381" s="198"/>
    </row>
    <row r="382" spans="7:59" ht="18.75" x14ac:dyDescent="0.3">
      <c r="H382" s="415"/>
      <c r="I382" s="416"/>
      <c r="J382" s="404">
        <f t="shared" si="48"/>
        <v>0</v>
      </c>
      <c r="K382" s="412"/>
      <c r="L382" s="413"/>
      <c r="M382" s="413"/>
      <c r="BG382" s="198"/>
    </row>
    <row r="383" spans="7:59" ht="18.75" x14ac:dyDescent="0.3">
      <c r="H383" s="415"/>
      <c r="I383" s="416"/>
      <c r="J383" s="404">
        <f t="shared" si="48"/>
        <v>0</v>
      </c>
      <c r="K383" s="412"/>
      <c r="L383" s="413"/>
      <c r="M383" s="413"/>
      <c r="BG383" s="198"/>
    </row>
    <row r="384" spans="7:59" ht="18.75" x14ac:dyDescent="0.3">
      <c r="H384" s="415"/>
      <c r="I384" s="418"/>
      <c r="J384" s="419">
        <f t="shared" si="48"/>
        <v>0</v>
      </c>
      <c r="K384" s="420"/>
      <c r="L384" s="412"/>
      <c r="M384" s="412"/>
      <c r="BG384" s="198"/>
    </row>
    <row r="385" spans="8:59" ht="18.75" x14ac:dyDescent="0.3">
      <c r="H385" s="421"/>
      <c r="I385" s="418"/>
      <c r="J385" s="404">
        <f t="shared" si="48"/>
        <v>0</v>
      </c>
      <c r="K385" s="412"/>
      <c r="L385" s="412"/>
      <c r="M385" s="412"/>
      <c r="BG385" s="198"/>
    </row>
    <row r="386" spans="8:59" ht="18.75" x14ac:dyDescent="0.3">
      <c r="H386" s="421"/>
      <c r="I386" s="418"/>
      <c r="J386" s="404">
        <f t="shared" si="48"/>
        <v>0</v>
      </c>
      <c r="K386" s="412"/>
      <c r="L386" s="412"/>
      <c r="M386" s="412"/>
      <c r="BG386" s="198"/>
    </row>
    <row r="387" spans="8:59" ht="18.75" x14ac:dyDescent="0.3">
      <c r="H387" s="421"/>
      <c r="I387" s="418"/>
      <c r="J387" s="404">
        <f t="shared" si="48"/>
        <v>0</v>
      </c>
      <c r="K387" s="412"/>
      <c r="L387" s="412"/>
      <c r="M387" s="412"/>
      <c r="BG387" s="198"/>
    </row>
    <row r="388" spans="8:59" ht="18.75" x14ac:dyDescent="0.3">
      <c r="H388" s="421"/>
      <c r="I388" s="418"/>
      <c r="J388" s="404">
        <f t="shared" si="48"/>
        <v>0</v>
      </c>
      <c r="K388" s="412"/>
      <c r="L388" s="412"/>
      <c r="M388" s="412"/>
      <c r="BG388" s="198"/>
    </row>
    <row r="389" spans="8:59" ht="18.75" x14ac:dyDescent="0.3">
      <c r="H389" s="421"/>
      <c r="I389" s="418"/>
      <c r="J389" s="404">
        <f t="shared" si="48"/>
        <v>0</v>
      </c>
      <c r="K389" s="412"/>
      <c r="L389" s="412"/>
      <c r="M389" s="412"/>
      <c r="BG389" s="198"/>
    </row>
    <row r="390" spans="8:59" ht="18.75" x14ac:dyDescent="0.3">
      <c r="H390" s="421"/>
      <c r="I390" s="416"/>
      <c r="J390" s="404">
        <f t="shared" si="48"/>
        <v>0</v>
      </c>
      <c r="K390" s="413"/>
      <c r="L390" s="412"/>
      <c r="M390" s="412"/>
      <c r="BG390" s="198"/>
    </row>
    <row r="391" spans="8:59" ht="18.75" x14ac:dyDescent="0.3">
      <c r="H391" s="421"/>
      <c r="I391" s="518"/>
      <c r="J391" s="404">
        <f t="shared" si="48"/>
        <v>0</v>
      </c>
      <c r="K391" s="413"/>
      <c r="L391" s="412"/>
      <c r="M391" s="412"/>
      <c r="BG391" s="198"/>
    </row>
    <row r="392" spans="8:59" ht="18.75" x14ac:dyDescent="0.3">
      <c r="H392" s="421"/>
      <c r="I392" s="518"/>
      <c r="J392" s="404">
        <f t="shared" si="48"/>
        <v>0</v>
      </c>
      <c r="K392" s="413"/>
      <c r="L392" s="412"/>
      <c r="M392" s="412"/>
      <c r="BG392" s="198"/>
    </row>
    <row r="393" spans="8:59" ht="18.75" x14ac:dyDescent="0.3">
      <c r="H393" s="422"/>
      <c r="I393" s="423"/>
      <c r="J393" s="404">
        <f t="shared" si="48"/>
        <v>0</v>
      </c>
      <c r="K393" s="413"/>
      <c r="L393" s="412"/>
      <c r="M393" s="412"/>
      <c r="BG393" s="198"/>
    </row>
    <row r="394" spans="8:59" ht="18.75" x14ac:dyDescent="0.3">
      <c r="H394" s="424"/>
      <c r="I394" s="423"/>
      <c r="J394" s="404">
        <f t="shared" si="48"/>
        <v>0</v>
      </c>
      <c r="K394" s="413"/>
      <c r="L394" s="412"/>
      <c r="M394" s="412"/>
      <c r="BG394" s="198"/>
    </row>
    <row r="395" spans="8:59" ht="18.75" x14ac:dyDescent="0.3">
      <c r="H395" s="425"/>
      <c r="I395" s="423"/>
      <c r="J395" s="404">
        <f t="shared" si="48"/>
        <v>0</v>
      </c>
      <c r="K395" s="412"/>
      <c r="L395" s="412"/>
      <c r="M395" s="412"/>
      <c r="BG395" s="198"/>
    </row>
    <row r="396" spans="8:59" ht="18.75" x14ac:dyDescent="0.3">
      <c r="H396" s="426"/>
      <c r="I396" s="423"/>
      <c r="J396" s="404">
        <f t="shared" si="48"/>
        <v>0</v>
      </c>
      <c r="K396" s="412"/>
      <c r="L396" s="412"/>
      <c r="M396" s="412"/>
      <c r="BG396" s="198"/>
    </row>
    <row r="397" spans="8:59" ht="18.75" x14ac:dyDescent="0.3">
      <c r="H397" s="426"/>
      <c r="I397" s="423"/>
      <c r="J397" s="404">
        <f t="shared" si="48"/>
        <v>0</v>
      </c>
      <c r="K397" s="412"/>
      <c r="L397" s="412"/>
      <c r="M397" s="412"/>
      <c r="BG397" s="198"/>
    </row>
    <row r="398" spans="8:59" ht="18.75" x14ac:dyDescent="0.3">
      <c r="H398" s="426"/>
      <c r="I398" s="423"/>
      <c r="J398" s="410">
        <f t="shared" si="48"/>
        <v>0</v>
      </c>
      <c r="K398" s="427"/>
      <c r="L398" s="427"/>
      <c r="M398" s="427"/>
      <c r="BG398" s="198"/>
    </row>
    <row r="399" spans="8:59" ht="18.75" x14ac:dyDescent="0.3">
      <c r="H399" s="426"/>
      <c r="I399" s="423"/>
      <c r="J399" s="404">
        <f>K399+L399</f>
        <v>0</v>
      </c>
      <c r="K399" s="412"/>
      <c r="L399" s="412"/>
      <c r="M399" s="412"/>
      <c r="BG399" s="198"/>
    </row>
    <row r="400" spans="8:59" ht="18.75" x14ac:dyDescent="0.3">
      <c r="J400" s="355"/>
      <c r="BG400" s="198"/>
    </row>
    <row r="401" spans="10:59" ht="18.75" x14ac:dyDescent="0.3">
      <c r="J401" s="355"/>
      <c r="BG401" s="198"/>
    </row>
    <row r="402" spans="10:59" ht="18.75" x14ac:dyDescent="0.3">
      <c r="J402" s="355"/>
      <c r="BG402" s="198"/>
    </row>
    <row r="403" spans="10:59" ht="18.75" x14ac:dyDescent="0.3">
      <c r="J403" s="355"/>
      <c r="BG403" s="198"/>
    </row>
    <row r="404" spans="10:59" ht="18.75" x14ac:dyDescent="0.3">
      <c r="J404" s="355"/>
      <c r="BG404" s="198"/>
    </row>
    <row r="405" spans="10:59" ht="18.75" x14ac:dyDescent="0.3">
      <c r="J405" s="355"/>
      <c r="BG405" s="198"/>
    </row>
    <row r="406" spans="10:59" ht="18.75" x14ac:dyDescent="0.3">
      <c r="BG406" s="198"/>
    </row>
    <row r="407" spans="10:59" ht="18.75" x14ac:dyDescent="0.3">
      <c r="BG407" s="198"/>
    </row>
    <row r="408" spans="10:59" ht="18.75" x14ac:dyDescent="0.3">
      <c r="BG408" s="198"/>
    </row>
    <row r="409" spans="10:59" ht="18.75" x14ac:dyDescent="0.3">
      <c r="BG409" s="198"/>
    </row>
    <row r="410" spans="10:59" ht="18.75" x14ac:dyDescent="0.3">
      <c r="BG410" s="198"/>
    </row>
    <row r="411" spans="10:59" ht="18.75" x14ac:dyDescent="0.3">
      <c r="BG411" s="198"/>
    </row>
    <row r="412" spans="10:59" ht="18.75" x14ac:dyDescent="0.3">
      <c r="BG412" s="198"/>
    </row>
    <row r="413" spans="10:59" ht="18.75" x14ac:dyDescent="0.3">
      <c r="BG413" s="198"/>
    </row>
    <row r="414" spans="10:59" ht="18.75" x14ac:dyDescent="0.3">
      <c r="BG414" s="198"/>
    </row>
    <row r="415" spans="10:59" ht="18.75" x14ac:dyDescent="0.3">
      <c r="BG415" s="198"/>
    </row>
    <row r="416" spans="10:59" ht="18.75" x14ac:dyDescent="0.3">
      <c r="BG416" s="198"/>
    </row>
    <row r="417" spans="59:59" ht="18.75" x14ac:dyDescent="0.3">
      <c r="BG417" s="198"/>
    </row>
    <row r="418" spans="59:59" ht="18.75" x14ac:dyDescent="0.3">
      <c r="BG418" s="198"/>
    </row>
    <row r="419" spans="59:59" ht="18.75" x14ac:dyDescent="0.3">
      <c r="BG419" s="198"/>
    </row>
    <row r="420" spans="59:59" ht="18.75" x14ac:dyDescent="0.3">
      <c r="BG420" s="198"/>
    </row>
    <row r="421" spans="59:59" ht="18.75" x14ac:dyDescent="0.3">
      <c r="BG421" s="198"/>
    </row>
    <row r="422" spans="59:59" ht="18.75" x14ac:dyDescent="0.3">
      <c r="BG422" s="198"/>
    </row>
    <row r="423" spans="59:59" ht="18.75" x14ac:dyDescent="0.3">
      <c r="BG423" s="198"/>
    </row>
    <row r="424" spans="59:59" ht="18.75" x14ac:dyDescent="0.3">
      <c r="BG424" s="198"/>
    </row>
    <row r="425" spans="59:59" ht="18.75" x14ac:dyDescent="0.3">
      <c r="BG425" s="198"/>
    </row>
    <row r="426" spans="59:59" ht="18.75" x14ac:dyDescent="0.3">
      <c r="BG426" s="198"/>
    </row>
    <row r="427" spans="59:59" ht="18.75" x14ac:dyDescent="0.3">
      <c r="BG427" s="198"/>
    </row>
    <row r="428" spans="59:59" ht="18.75" x14ac:dyDescent="0.3">
      <c r="BG428" s="198"/>
    </row>
    <row r="429" spans="59:59" ht="18.75" x14ac:dyDescent="0.3">
      <c r="BG429" s="198"/>
    </row>
    <row r="430" spans="59:59" ht="18.75" x14ac:dyDescent="0.3">
      <c r="BG430" s="198"/>
    </row>
    <row r="431" spans="59:59" ht="18.75" x14ac:dyDescent="0.3">
      <c r="BG431" s="198"/>
    </row>
    <row r="432" spans="59:59" ht="18.75" x14ac:dyDescent="0.3">
      <c r="BG432" s="198"/>
    </row>
    <row r="433" spans="59:59" ht="18.75" x14ac:dyDescent="0.3">
      <c r="BG433" s="198"/>
    </row>
    <row r="434" spans="59:59" ht="18.75" x14ac:dyDescent="0.3">
      <c r="BG434" s="198"/>
    </row>
    <row r="435" spans="59:59" ht="18.75" x14ac:dyDescent="0.3">
      <c r="BG435" s="198"/>
    </row>
    <row r="436" spans="59:59" ht="18.75" x14ac:dyDescent="0.3">
      <c r="BG436" s="198"/>
    </row>
    <row r="437" spans="59:59" ht="18.75" x14ac:dyDescent="0.3">
      <c r="BG437" s="198"/>
    </row>
    <row r="438" spans="59:59" ht="18.75" x14ac:dyDescent="0.3">
      <c r="BG438" s="198"/>
    </row>
    <row r="439" spans="59:59" ht="18.75" x14ac:dyDescent="0.3">
      <c r="BG439" s="198"/>
    </row>
    <row r="440" spans="59:59" ht="18.75" x14ac:dyDescent="0.3">
      <c r="BG440" s="198"/>
    </row>
    <row r="441" spans="59:59" ht="18.75" x14ac:dyDescent="0.3">
      <c r="BG441" s="198"/>
    </row>
    <row r="442" spans="59:59" ht="18.75" x14ac:dyDescent="0.3">
      <c r="BG442" s="198"/>
    </row>
    <row r="443" spans="59:59" ht="18.75" x14ac:dyDescent="0.3">
      <c r="BG443" s="198"/>
    </row>
    <row r="444" spans="59:59" ht="18.75" x14ac:dyDescent="0.3">
      <c r="BG444" s="198"/>
    </row>
    <row r="445" spans="59:59" ht="18.75" x14ac:dyDescent="0.3">
      <c r="BG445" s="198"/>
    </row>
    <row r="446" spans="59:59" ht="18.75" x14ac:dyDescent="0.3">
      <c r="BG446" s="198"/>
    </row>
    <row r="447" spans="59:59" ht="18.75" x14ac:dyDescent="0.3">
      <c r="BG447" s="198"/>
    </row>
    <row r="448" spans="59:59" ht="18.75" x14ac:dyDescent="0.3">
      <c r="BG448" s="198"/>
    </row>
    <row r="449" spans="59:59" ht="18.75" x14ac:dyDescent="0.3">
      <c r="BG449" s="198"/>
    </row>
    <row r="450" spans="59:59" ht="18.75" x14ac:dyDescent="0.3">
      <c r="BG450" s="198"/>
    </row>
    <row r="451" spans="59:59" ht="18.75" x14ac:dyDescent="0.3">
      <c r="BG451" s="198"/>
    </row>
    <row r="452" spans="59:59" ht="18.75" x14ac:dyDescent="0.3">
      <c r="BG452" s="198"/>
    </row>
    <row r="453" spans="59:59" ht="18.75" x14ac:dyDescent="0.3">
      <c r="BG453" s="198"/>
    </row>
    <row r="454" spans="59:59" ht="18.75" x14ac:dyDescent="0.3">
      <c r="BG454" s="198"/>
    </row>
    <row r="455" spans="59:59" ht="18.75" x14ac:dyDescent="0.3">
      <c r="BG455" s="198"/>
    </row>
    <row r="456" spans="59:59" ht="18.75" x14ac:dyDescent="0.3">
      <c r="BG456" s="198"/>
    </row>
    <row r="457" spans="59:59" ht="18.75" x14ac:dyDescent="0.3">
      <c r="BG457" s="198"/>
    </row>
    <row r="458" spans="59:59" ht="18.75" x14ac:dyDescent="0.3">
      <c r="BG458" s="198"/>
    </row>
    <row r="459" spans="59:59" ht="18.75" x14ac:dyDescent="0.3">
      <c r="BG459" s="198"/>
    </row>
    <row r="460" spans="59:59" ht="18.75" x14ac:dyDescent="0.3">
      <c r="BG460" s="198"/>
    </row>
    <row r="461" spans="59:59" ht="18.75" x14ac:dyDescent="0.3">
      <c r="BG461" s="198"/>
    </row>
    <row r="462" spans="59:59" ht="18.75" x14ac:dyDescent="0.3">
      <c r="BG462" s="198"/>
    </row>
    <row r="463" spans="59:59" ht="18.75" x14ac:dyDescent="0.3">
      <c r="BG463" s="198"/>
    </row>
    <row r="464" spans="59:59" ht="18.75" x14ac:dyDescent="0.3">
      <c r="BG464" s="198"/>
    </row>
    <row r="465" spans="59:59" ht="18.75" x14ac:dyDescent="0.3">
      <c r="BG465" s="198"/>
    </row>
    <row r="466" spans="59:59" ht="18.75" x14ac:dyDescent="0.3">
      <c r="BG466" s="198"/>
    </row>
    <row r="467" spans="59:59" ht="18.75" x14ac:dyDescent="0.3">
      <c r="BG467" s="198"/>
    </row>
    <row r="468" spans="59:59" ht="18.75" x14ac:dyDescent="0.3">
      <c r="BG468" s="198"/>
    </row>
    <row r="469" spans="59:59" ht="18.75" x14ac:dyDescent="0.3">
      <c r="BG469" s="198"/>
    </row>
    <row r="470" spans="59:59" ht="18.75" x14ac:dyDescent="0.3">
      <c r="BG470" s="198"/>
    </row>
    <row r="471" spans="59:59" ht="18.75" x14ac:dyDescent="0.3">
      <c r="BG471" s="198"/>
    </row>
    <row r="472" spans="59:59" ht="18.75" x14ac:dyDescent="0.3">
      <c r="BG472" s="198"/>
    </row>
    <row r="473" spans="59:59" ht="18.75" x14ac:dyDescent="0.3">
      <c r="BG473" s="198"/>
    </row>
    <row r="474" spans="59:59" ht="18.75" x14ac:dyDescent="0.3">
      <c r="BG474" s="198"/>
    </row>
    <row r="475" spans="59:59" ht="18.75" x14ac:dyDescent="0.3">
      <c r="BG475" s="198"/>
    </row>
    <row r="476" spans="59:59" ht="18.75" x14ac:dyDescent="0.3">
      <c r="BG476" s="198"/>
    </row>
    <row r="477" spans="59:59" ht="18.75" x14ac:dyDescent="0.3">
      <c r="BG477" s="198"/>
    </row>
    <row r="478" spans="59:59" ht="18.75" x14ac:dyDescent="0.3">
      <c r="BG478" s="198"/>
    </row>
    <row r="479" spans="59:59" ht="18.75" x14ac:dyDescent="0.3">
      <c r="BG479" s="198"/>
    </row>
    <row r="480" spans="59:59" ht="18.75" x14ac:dyDescent="0.3">
      <c r="BG480" s="198"/>
    </row>
    <row r="481" spans="59:59" ht="18.75" x14ac:dyDescent="0.3">
      <c r="BG481" s="198"/>
    </row>
    <row r="482" spans="59:59" ht="18.75" x14ac:dyDescent="0.3">
      <c r="BG482" s="198"/>
    </row>
    <row r="483" spans="59:59" ht="18.75" x14ac:dyDescent="0.3">
      <c r="BG483" s="198"/>
    </row>
    <row r="484" spans="59:59" ht="18.75" x14ac:dyDescent="0.3">
      <c r="BG484" s="198"/>
    </row>
    <row r="485" spans="59:59" ht="18.75" x14ac:dyDescent="0.3">
      <c r="BG485" s="198"/>
    </row>
    <row r="486" spans="59:59" ht="18.75" x14ac:dyDescent="0.3">
      <c r="BG486" s="198"/>
    </row>
    <row r="487" spans="59:59" ht="18.75" x14ac:dyDescent="0.3">
      <c r="BG487" s="198"/>
    </row>
    <row r="488" spans="59:59" ht="18.75" x14ac:dyDescent="0.3">
      <c r="BG488" s="198"/>
    </row>
    <row r="489" spans="59:59" ht="18.75" x14ac:dyDescent="0.3">
      <c r="BG489" s="198"/>
    </row>
    <row r="490" spans="59:59" ht="18.75" x14ac:dyDescent="0.3">
      <c r="BG490" s="198"/>
    </row>
    <row r="491" spans="59:59" ht="18.75" x14ac:dyDescent="0.3">
      <c r="BG491" s="198"/>
    </row>
    <row r="492" spans="59:59" ht="18.75" x14ac:dyDescent="0.3">
      <c r="BG492" s="198"/>
    </row>
    <row r="493" spans="59:59" ht="18.75" x14ac:dyDescent="0.3">
      <c r="BG493" s="198"/>
    </row>
    <row r="494" spans="59:59" ht="18.75" x14ac:dyDescent="0.3">
      <c r="BG494" s="198"/>
    </row>
    <row r="495" spans="59:59" ht="18.75" x14ac:dyDescent="0.3">
      <c r="BG495" s="198"/>
    </row>
    <row r="496" spans="59:59" ht="18.75" x14ac:dyDescent="0.3">
      <c r="BG496" s="198"/>
    </row>
    <row r="497" spans="59:59" ht="18.75" x14ac:dyDescent="0.3">
      <c r="BG497" s="198"/>
    </row>
    <row r="498" spans="59:59" ht="18.75" x14ac:dyDescent="0.3">
      <c r="BG498" s="198"/>
    </row>
    <row r="499" spans="59:59" ht="18.75" x14ac:dyDescent="0.3">
      <c r="BG499" s="198"/>
    </row>
    <row r="500" spans="59:59" ht="18.75" x14ac:dyDescent="0.3">
      <c r="BG500" s="198"/>
    </row>
    <row r="501" spans="59:59" ht="18.75" x14ac:dyDescent="0.3">
      <c r="BG501" s="198"/>
    </row>
    <row r="502" spans="59:59" ht="18.75" x14ac:dyDescent="0.3">
      <c r="BG502" s="198"/>
    </row>
    <row r="503" spans="59:59" ht="18.75" x14ac:dyDescent="0.3">
      <c r="BG503" s="198"/>
    </row>
    <row r="504" spans="59:59" ht="18.75" x14ac:dyDescent="0.3">
      <c r="BG504" s="198"/>
    </row>
    <row r="505" spans="59:59" ht="18.75" x14ac:dyDescent="0.3">
      <c r="BG505" s="198"/>
    </row>
    <row r="506" spans="59:59" ht="18.75" x14ac:dyDescent="0.3">
      <c r="BG506" s="198"/>
    </row>
    <row r="507" spans="59:59" ht="18.75" x14ac:dyDescent="0.3">
      <c r="BG507" s="198"/>
    </row>
    <row r="508" spans="59:59" ht="18.75" x14ac:dyDescent="0.3">
      <c r="BG508" s="198"/>
    </row>
    <row r="509" spans="59:59" ht="18.75" x14ac:dyDescent="0.3">
      <c r="BG509" s="198"/>
    </row>
    <row r="510" spans="59:59" ht="18.75" x14ac:dyDescent="0.3">
      <c r="BG510" s="198"/>
    </row>
    <row r="511" spans="59:59" ht="18.75" x14ac:dyDescent="0.3">
      <c r="BG511" s="198"/>
    </row>
    <row r="512" spans="59:59" ht="18.75" x14ac:dyDescent="0.3">
      <c r="BG512" s="198"/>
    </row>
    <row r="513" spans="59:59" ht="18.75" x14ac:dyDescent="0.3">
      <c r="BG513" s="198"/>
    </row>
    <row r="514" spans="59:59" ht="18.75" x14ac:dyDescent="0.3">
      <c r="BG514" s="198"/>
    </row>
    <row r="515" spans="59:59" ht="18.75" x14ac:dyDescent="0.3">
      <c r="BG515" s="198"/>
    </row>
    <row r="516" spans="59:59" ht="18.75" x14ac:dyDescent="0.3">
      <c r="BG516" s="198"/>
    </row>
    <row r="517" spans="59:59" ht="18.75" x14ac:dyDescent="0.3">
      <c r="BG517" s="198"/>
    </row>
    <row r="518" spans="59:59" ht="18.75" x14ac:dyDescent="0.3">
      <c r="BG518" s="198"/>
    </row>
    <row r="519" spans="59:59" ht="18.75" x14ac:dyDescent="0.3">
      <c r="BG519" s="198"/>
    </row>
    <row r="520" spans="59:59" ht="18.75" x14ac:dyDescent="0.3">
      <c r="BG520" s="198"/>
    </row>
    <row r="521" spans="59:59" ht="18.75" x14ac:dyDescent="0.3">
      <c r="BG521" s="198"/>
    </row>
    <row r="522" spans="59:59" ht="18.75" x14ac:dyDescent="0.3">
      <c r="BG522" s="198"/>
    </row>
    <row r="523" spans="59:59" ht="18.75" x14ac:dyDescent="0.3">
      <c r="BG523" s="198"/>
    </row>
    <row r="524" spans="59:59" ht="18.75" x14ac:dyDescent="0.3">
      <c r="BG524" s="198"/>
    </row>
    <row r="525" spans="59:59" ht="18.75" x14ac:dyDescent="0.3">
      <c r="BG525" s="198"/>
    </row>
    <row r="526" spans="59:59" ht="18.75" x14ac:dyDescent="0.3">
      <c r="BG526" s="198"/>
    </row>
    <row r="527" spans="59:59" ht="18.75" x14ac:dyDescent="0.3">
      <c r="BG527" s="198"/>
    </row>
    <row r="528" spans="59:59" ht="18.75" x14ac:dyDescent="0.3">
      <c r="BG528" s="198"/>
    </row>
    <row r="529" spans="59:59" ht="18.75" x14ac:dyDescent="0.3">
      <c r="BG529" s="198"/>
    </row>
    <row r="530" spans="59:59" ht="18.75" x14ac:dyDescent="0.3">
      <c r="BG530" s="198"/>
    </row>
    <row r="531" spans="59:59" ht="18.75" x14ac:dyDescent="0.3">
      <c r="BG531" s="198"/>
    </row>
    <row r="532" spans="59:59" ht="18.75" x14ac:dyDescent="0.3">
      <c r="BG532" s="198"/>
    </row>
    <row r="533" spans="59:59" ht="18.75" x14ac:dyDescent="0.3">
      <c r="BG533" s="198"/>
    </row>
    <row r="534" spans="59:59" ht="18.75" x14ac:dyDescent="0.3">
      <c r="BG534" s="198"/>
    </row>
    <row r="535" spans="59:59" ht="18.75" x14ac:dyDescent="0.3">
      <c r="BG535" s="198"/>
    </row>
    <row r="536" spans="59:59" ht="18.75" x14ac:dyDescent="0.3">
      <c r="BG536" s="198"/>
    </row>
    <row r="537" spans="59:59" ht="18.75" x14ac:dyDescent="0.3">
      <c r="BG537" s="198"/>
    </row>
    <row r="538" spans="59:59" ht="18.75" x14ac:dyDescent="0.3">
      <c r="BG538" s="198"/>
    </row>
    <row r="539" spans="59:59" ht="18.75" x14ac:dyDescent="0.3">
      <c r="BG539" s="198"/>
    </row>
    <row r="540" spans="59:59" ht="18.75" x14ac:dyDescent="0.3">
      <c r="BG540" s="198"/>
    </row>
    <row r="541" spans="59:59" ht="18.75" x14ac:dyDescent="0.3">
      <c r="BG541" s="198"/>
    </row>
    <row r="542" spans="59:59" ht="18.75" x14ac:dyDescent="0.3">
      <c r="BG542" s="198"/>
    </row>
    <row r="543" spans="59:59" ht="18.75" x14ac:dyDescent="0.3">
      <c r="BG543" s="198"/>
    </row>
    <row r="544" spans="59:59" ht="18.75" x14ac:dyDescent="0.3">
      <c r="BG544" s="198"/>
    </row>
    <row r="545" spans="59:59" ht="18.75" x14ac:dyDescent="0.3">
      <c r="BG545" s="198"/>
    </row>
  </sheetData>
  <autoFilter ref="A6:AL315">
    <filterColumn colId="0">
      <customFilters>
        <customFilter operator="notEqual" val=" "/>
      </customFilters>
    </filterColumn>
  </autoFilter>
  <mergeCells count="20">
    <mergeCell ref="G371:G373"/>
    <mergeCell ref="H371:H373"/>
    <mergeCell ref="I374:I378"/>
    <mergeCell ref="I391:I392"/>
    <mergeCell ref="I347:I348"/>
    <mergeCell ref="N5:AK5"/>
    <mergeCell ref="D307:G307"/>
    <mergeCell ref="I5:I6"/>
    <mergeCell ref="J5:J6"/>
    <mergeCell ref="L5:M5"/>
    <mergeCell ref="I330:I334"/>
    <mergeCell ref="H327:H329"/>
    <mergeCell ref="G327:G329"/>
    <mergeCell ref="D1:M1"/>
    <mergeCell ref="F5:F6"/>
    <mergeCell ref="H5:H6"/>
    <mergeCell ref="K5:K6"/>
    <mergeCell ref="D5:D6"/>
    <mergeCell ref="G5:G6"/>
    <mergeCell ref="E5:E6"/>
  </mergeCells>
  <phoneticPr fontId="4" type="noConversion"/>
  <pageMargins left="1.1811023622047245" right="0.39370078740157483" top="1.3779527559055118" bottom="0.78740157480314965" header="0.78740157480314965" footer="0.51181102362204722"/>
  <pageSetup paperSize="9" scale="31" fitToHeight="4" orientation="portrait" blackAndWhite="1" r:id="rId1"/>
  <headerFooter differentFirst="1">
    <oddHeader>&amp;C&amp;"Times New Roman,обычный"&amp;14&amp;P&amp;R&amp;"Times New Roman,обычный"&amp;14Продовження додатку 6</oddHeader>
    <oddFooter>&amp;R&amp;P</oddFooter>
    <firstHeader>&amp;R&amp;"Times New Roman,обычный"&amp;24Додаток 6
до рішення міської ради
від __________________ №_____</firstHeader>
  </headerFooter>
  <rowBreaks count="3" manualBreakCount="3">
    <brk id="70" min="2" max="12" man="1"/>
    <brk id="156" min="2" max="12" man="1"/>
    <brk id="289" min="2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GorFo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2021-08-09T11:53:31Z</cp:lastPrinted>
  <dcterms:created xsi:type="dcterms:W3CDTF">2008-06-19T08:03:43Z</dcterms:created>
  <dcterms:modified xsi:type="dcterms:W3CDTF">2021-08-16T08:04:34Z</dcterms:modified>
</cp:coreProperties>
</file>