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5195" windowHeight="11640" tabRatio="454"/>
  </bookViews>
  <sheets>
    <sheet name="Лист1" sheetId="1" r:id="rId1"/>
  </sheets>
  <definedNames>
    <definedName name="_xlnm._FilterDatabase" localSheetId="0" hidden="1">Лист1!$A$6:$AL$303</definedName>
    <definedName name="_xlnm.Print_Titles" localSheetId="0">Лист1!$7:$7</definedName>
    <definedName name="_xlnm.Print_Area" localSheetId="0">Лист1!$D$1:$M$303</definedName>
  </definedNames>
  <calcPr calcId="145621"/>
</workbook>
</file>

<file path=xl/calcChain.xml><?xml version="1.0" encoding="utf-8"?>
<calcChain xmlns="http://schemas.openxmlformats.org/spreadsheetml/2006/main">
  <c r="M164" i="1" l="1"/>
  <c r="L164" i="1"/>
  <c r="M280" i="1"/>
  <c r="L280" i="1"/>
  <c r="M290" i="1"/>
  <c r="L290" i="1"/>
  <c r="M284" i="1"/>
  <c r="L284" i="1"/>
  <c r="K197" i="1"/>
  <c r="M197" i="1"/>
  <c r="L197" i="1"/>
  <c r="K267" i="1" l="1"/>
  <c r="M211" i="1"/>
  <c r="L211" i="1"/>
  <c r="L354" i="1" l="1"/>
  <c r="M354" i="1"/>
  <c r="K19" i="1"/>
  <c r="J387" i="1" l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H359" i="1"/>
  <c r="J358" i="1"/>
  <c r="J357" i="1"/>
  <c r="J356" i="1"/>
  <c r="J355" i="1"/>
  <c r="K354" i="1"/>
  <c r="J354" i="1" s="1"/>
  <c r="L281" i="1"/>
  <c r="K202" i="1" l="1"/>
  <c r="M201" i="1"/>
  <c r="L201" i="1"/>
  <c r="K73" i="1" l="1"/>
  <c r="K72" i="1"/>
  <c r="M57" i="1" l="1"/>
  <c r="L57" i="1"/>
  <c r="K57" i="1"/>
  <c r="J66" i="1"/>
  <c r="M65" i="1"/>
  <c r="L65" i="1"/>
  <c r="K65" i="1"/>
  <c r="K64" i="1" s="1"/>
  <c r="M64" i="1"/>
  <c r="L64" i="1"/>
  <c r="K58" i="1"/>
  <c r="J64" i="1" l="1"/>
  <c r="J65" i="1"/>
  <c r="K11" i="1"/>
  <c r="K38" i="1" l="1"/>
  <c r="J285" i="1"/>
  <c r="A285" i="1" s="1"/>
  <c r="M113" i="1"/>
  <c r="K113" i="1"/>
  <c r="L113" i="1"/>
  <c r="L112" i="1" s="1"/>
  <c r="C114" i="1"/>
  <c r="J115" i="1"/>
  <c r="A115" i="1" s="1"/>
  <c r="N122" i="1"/>
  <c r="AK122" i="1" s="1"/>
  <c r="J122" i="1"/>
  <c r="A122" i="1" s="1"/>
  <c r="J78" i="1"/>
  <c r="A78" i="1" s="1"/>
  <c r="J79" i="1"/>
  <c r="J80" i="1"/>
  <c r="A80" i="1" s="1"/>
  <c r="J81" i="1"/>
  <c r="A81" i="1" s="1"/>
  <c r="J83" i="1"/>
  <c r="A83" i="1" s="1"/>
  <c r="J84" i="1"/>
  <c r="A84" i="1" s="1"/>
  <c r="J85" i="1"/>
  <c r="A85" i="1" s="1"/>
  <c r="J86" i="1"/>
  <c r="A86" i="1" s="1"/>
  <c r="J87" i="1"/>
  <c r="A87" i="1" s="1"/>
  <c r="J88" i="1"/>
  <c r="A88" i="1" s="1"/>
  <c r="J89" i="1"/>
  <c r="A89" i="1" s="1"/>
  <c r="J90" i="1"/>
  <c r="A90" i="1" s="1"/>
  <c r="J91" i="1"/>
  <c r="A91" i="1" s="1"/>
  <c r="J92" i="1"/>
  <c r="A92" i="1" s="1"/>
  <c r="J93" i="1"/>
  <c r="A93" i="1" s="1"/>
  <c r="J94" i="1"/>
  <c r="A94" i="1" s="1"/>
  <c r="J95" i="1"/>
  <c r="A95" i="1" s="1"/>
  <c r="J96" i="1"/>
  <c r="A96" i="1" s="1"/>
  <c r="M77" i="1"/>
  <c r="M76" i="1" s="1"/>
  <c r="M75" i="1" s="1"/>
  <c r="L77" i="1"/>
  <c r="L76" i="1" s="1"/>
  <c r="L75" i="1" s="1"/>
  <c r="K82" i="1"/>
  <c r="J82" i="1" s="1"/>
  <c r="A82" i="1" s="1"/>
  <c r="K48" i="1"/>
  <c r="K154" i="1"/>
  <c r="K158" i="1"/>
  <c r="N166" i="1"/>
  <c r="AK166" i="1" s="1"/>
  <c r="J166" i="1"/>
  <c r="A166" i="1" s="1"/>
  <c r="J280" i="1"/>
  <c r="A280" i="1" s="1"/>
  <c r="K56" i="1"/>
  <c r="K55" i="1" s="1"/>
  <c r="M103" i="1"/>
  <c r="M102" i="1" s="1"/>
  <c r="M108" i="1"/>
  <c r="M107" i="1" s="1"/>
  <c r="M117" i="1"/>
  <c r="M116" i="1" s="1"/>
  <c r="M112" i="1"/>
  <c r="L108" i="1"/>
  <c r="L107" i="1" s="1"/>
  <c r="L103" i="1"/>
  <c r="L102" i="1" s="1"/>
  <c r="L117" i="1"/>
  <c r="L116" i="1" s="1"/>
  <c r="K108" i="1"/>
  <c r="K107" i="1" s="1"/>
  <c r="K103" i="1"/>
  <c r="K102" i="1" s="1"/>
  <c r="J102" i="1" s="1"/>
  <c r="A102" i="1" s="1"/>
  <c r="K117" i="1"/>
  <c r="K116" i="1" s="1"/>
  <c r="K112" i="1"/>
  <c r="J114" i="1"/>
  <c r="A114" i="1" s="1"/>
  <c r="K125" i="1"/>
  <c r="K124" i="1" s="1"/>
  <c r="K123" i="1" s="1"/>
  <c r="J111" i="1"/>
  <c r="A111" i="1" s="1"/>
  <c r="J264" i="1"/>
  <c r="A264" i="1" s="1"/>
  <c r="J263" i="1"/>
  <c r="A263" i="1" s="1"/>
  <c r="J262" i="1"/>
  <c r="A262" i="1" s="1"/>
  <c r="J261" i="1"/>
  <c r="J260" i="1"/>
  <c r="A260" i="1" s="1"/>
  <c r="M147" i="1"/>
  <c r="M146" i="1" s="1"/>
  <c r="M145" i="1" s="1"/>
  <c r="M10" i="1"/>
  <c r="M9" i="1" s="1"/>
  <c r="M19" i="1"/>
  <c r="M14" i="1" s="1"/>
  <c r="M13" i="1" s="1"/>
  <c r="M24" i="1"/>
  <c r="M23" i="1" s="1"/>
  <c r="M22" i="1" s="1"/>
  <c r="M33" i="1"/>
  <c r="M32" i="1" s="1"/>
  <c r="M31" i="1" s="1"/>
  <c r="M41" i="1"/>
  <c r="M40" i="1" s="1"/>
  <c r="M39" i="1" s="1"/>
  <c r="M45" i="1"/>
  <c r="M44" i="1" s="1"/>
  <c r="M43" i="1" s="1"/>
  <c r="M52" i="1"/>
  <c r="M51" i="1" s="1"/>
  <c r="M50" i="1" s="1"/>
  <c r="M56" i="1"/>
  <c r="M55" i="1" s="1"/>
  <c r="M70" i="1"/>
  <c r="M69" i="1" s="1"/>
  <c r="M125" i="1"/>
  <c r="M124" i="1" s="1"/>
  <c r="M123" i="1" s="1"/>
  <c r="M128" i="1"/>
  <c r="M127" i="1" s="1"/>
  <c r="M140" i="1"/>
  <c r="M139" i="1" s="1"/>
  <c r="M137" i="1"/>
  <c r="M136" i="1" s="1"/>
  <c r="M177" i="1"/>
  <c r="M175" i="1" s="1"/>
  <c r="M174" i="1" s="1"/>
  <c r="M173" i="1" s="1"/>
  <c r="M179" i="1"/>
  <c r="M178" i="1" s="1"/>
  <c r="M182" i="1"/>
  <c r="M187" i="1"/>
  <c r="M186" i="1" s="1"/>
  <c r="M191" i="1"/>
  <c r="M190" i="1" s="1"/>
  <c r="M196" i="1"/>
  <c r="M195" i="1" s="1"/>
  <c r="M194" i="1" s="1"/>
  <c r="M200" i="1"/>
  <c r="M199" i="1" s="1"/>
  <c r="M198" i="1" s="1"/>
  <c r="M206" i="1"/>
  <c r="M205" i="1" s="1"/>
  <c r="M204" i="1" s="1"/>
  <c r="M210" i="1"/>
  <c r="M209" i="1" s="1"/>
  <c r="M208" i="1" s="1"/>
  <c r="M214" i="1"/>
  <c r="M213" i="1" s="1"/>
  <c r="M212" i="1" s="1"/>
  <c r="M232" i="1"/>
  <c r="M236" i="1"/>
  <c r="M246" i="1"/>
  <c r="M245" i="1" s="1"/>
  <c r="M259" i="1"/>
  <c r="M258" i="1" s="1"/>
  <c r="M273" i="1"/>
  <c r="M274" i="1"/>
  <c r="M288" i="1"/>
  <c r="M289" i="1"/>
  <c r="M255" i="1"/>
  <c r="M254" i="1" s="1"/>
  <c r="M292" i="1"/>
  <c r="M291" i="1" s="1"/>
  <c r="M37" i="1"/>
  <c r="M36" i="1" s="1"/>
  <c r="M35" i="1" s="1"/>
  <c r="M121" i="1"/>
  <c r="M120" i="1" s="1"/>
  <c r="M119" i="1" s="1"/>
  <c r="M310" i="1"/>
  <c r="L121" i="1"/>
  <c r="L120" i="1" s="1"/>
  <c r="L119" i="1" s="1"/>
  <c r="K121" i="1"/>
  <c r="K120" i="1" s="1"/>
  <c r="L259" i="1"/>
  <c r="L258" i="1" s="1"/>
  <c r="K259" i="1"/>
  <c r="K258" i="1" s="1"/>
  <c r="K140" i="1"/>
  <c r="K139" i="1" s="1"/>
  <c r="J144" i="1"/>
  <c r="A144" i="1" s="1"/>
  <c r="J143" i="1"/>
  <c r="A143" i="1" s="1"/>
  <c r="K162" i="1"/>
  <c r="L273" i="1"/>
  <c r="L274" i="1"/>
  <c r="L288" i="1"/>
  <c r="L289" i="1"/>
  <c r="L140" i="1"/>
  <c r="L139" i="1" s="1"/>
  <c r="K275" i="1"/>
  <c r="K277" i="1"/>
  <c r="K310" i="1"/>
  <c r="N283" i="1"/>
  <c r="AK283" i="1" s="1"/>
  <c r="J283" i="1"/>
  <c r="A283" i="1" s="1"/>
  <c r="J279" i="1"/>
  <c r="A279" i="1" s="1"/>
  <c r="J151" i="1"/>
  <c r="A151" i="1" s="1"/>
  <c r="L310" i="1"/>
  <c r="L24" i="1"/>
  <c r="L23" i="1" s="1"/>
  <c r="L22" i="1" s="1"/>
  <c r="K24" i="1"/>
  <c r="K23" i="1" s="1"/>
  <c r="K22" i="1" s="1"/>
  <c r="J28" i="1"/>
  <c r="A28" i="1" s="1"/>
  <c r="J29" i="1"/>
  <c r="A29" i="1" s="1"/>
  <c r="J336" i="1"/>
  <c r="J335" i="1"/>
  <c r="M129" i="1"/>
  <c r="L129" i="1"/>
  <c r="L128" i="1"/>
  <c r="L127" i="1" s="1"/>
  <c r="J343" i="1"/>
  <c r="K232" i="1"/>
  <c r="K219" i="1" s="1"/>
  <c r="K218" i="1" s="1"/>
  <c r="K246" i="1"/>
  <c r="K245" i="1" s="1"/>
  <c r="K255" i="1"/>
  <c r="K254" i="1" s="1"/>
  <c r="K292" i="1"/>
  <c r="K291" i="1" s="1"/>
  <c r="K52" i="1"/>
  <c r="K51" i="1" s="1"/>
  <c r="K10" i="1"/>
  <c r="K9" i="1" s="1"/>
  <c r="K14" i="1"/>
  <c r="K13" i="1" s="1"/>
  <c r="K33" i="1"/>
  <c r="K41" i="1"/>
  <c r="K40" i="1" s="1"/>
  <c r="K39" i="1" s="1"/>
  <c r="K45" i="1"/>
  <c r="K44" i="1" s="1"/>
  <c r="K43" i="1" s="1"/>
  <c r="K71" i="1"/>
  <c r="K70" i="1" s="1"/>
  <c r="K128" i="1"/>
  <c r="K127" i="1" s="1"/>
  <c r="K132" i="1"/>
  <c r="K131" i="1" s="1"/>
  <c r="J131" i="1" s="1"/>
  <c r="A131" i="1" s="1"/>
  <c r="K137" i="1"/>
  <c r="K136" i="1" s="1"/>
  <c r="K167" i="1"/>
  <c r="K170" i="1"/>
  <c r="K175" i="1"/>
  <c r="K174" i="1" s="1"/>
  <c r="K173" i="1" s="1"/>
  <c r="K179" i="1"/>
  <c r="K178" i="1" s="1"/>
  <c r="K183" i="1"/>
  <c r="K182" i="1" s="1"/>
  <c r="K187" i="1"/>
  <c r="K186" i="1" s="1"/>
  <c r="K191" i="1"/>
  <c r="K190" i="1" s="1"/>
  <c r="K196" i="1"/>
  <c r="K195" i="1" s="1"/>
  <c r="K194" i="1" s="1"/>
  <c r="K200" i="1"/>
  <c r="K199" i="1" s="1"/>
  <c r="K198" i="1" s="1"/>
  <c r="K206" i="1"/>
  <c r="K205" i="1" s="1"/>
  <c r="K204" i="1" s="1"/>
  <c r="K210" i="1"/>
  <c r="K209" i="1" s="1"/>
  <c r="K208" i="1" s="1"/>
  <c r="K214" i="1"/>
  <c r="K213" i="1" s="1"/>
  <c r="K212" i="1" s="1"/>
  <c r="K37" i="1"/>
  <c r="K36" i="1" s="1"/>
  <c r="K35" i="1" s="1"/>
  <c r="L232" i="1"/>
  <c r="L236" i="1"/>
  <c r="L246" i="1"/>
  <c r="L245" i="1" s="1"/>
  <c r="J245" i="1" s="1"/>
  <c r="A245" i="1" s="1"/>
  <c r="L255" i="1"/>
  <c r="L254" i="1" s="1"/>
  <c r="L292" i="1"/>
  <c r="L291" i="1" s="1"/>
  <c r="J291" i="1" s="1"/>
  <c r="A291" i="1" s="1"/>
  <c r="L10" i="1"/>
  <c r="L9" i="1" s="1"/>
  <c r="L19" i="1"/>
  <c r="J19" i="1" s="1"/>
  <c r="A19" i="1" s="1"/>
  <c r="L33" i="1"/>
  <c r="L32" i="1" s="1"/>
  <c r="L31" i="1" s="1"/>
  <c r="L41" i="1"/>
  <c r="L40" i="1" s="1"/>
  <c r="L45" i="1"/>
  <c r="L44" i="1" s="1"/>
  <c r="L52" i="1"/>
  <c r="L51" i="1" s="1"/>
  <c r="L50" i="1" s="1"/>
  <c r="L56" i="1"/>
  <c r="L55" i="1" s="1"/>
  <c r="L70" i="1"/>
  <c r="L69" i="1" s="1"/>
  <c r="L125" i="1"/>
  <c r="L124" i="1" s="1"/>
  <c r="L123" i="1" s="1"/>
  <c r="L137" i="1"/>
  <c r="L136" i="1" s="1"/>
  <c r="L154" i="1"/>
  <c r="L158" i="1"/>
  <c r="L157" i="1"/>
  <c r="L165" i="1"/>
  <c r="L167" i="1"/>
  <c r="L170" i="1"/>
  <c r="L177" i="1"/>
  <c r="L175" i="1" s="1"/>
  <c r="J175" i="1" s="1"/>
  <c r="A175" i="1" s="1"/>
  <c r="L179" i="1"/>
  <c r="L178" i="1" s="1"/>
  <c r="L182" i="1"/>
  <c r="L187" i="1"/>
  <c r="L186" i="1" s="1"/>
  <c r="L191" i="1"/>
  <c r="L190" i="1" s="1"/>
  <c r="J190" i="1" s="1"/>
  <c r="A190" i="1" s="1"/>
  <c r="L196" i="1"/>
  <c r="L195" i="1" s="1"/>
  <c r="L194" i="1" s="1"/>
  <c r="L200" i="1"/>
  <c r="L199" i="1" s="1"/>
  <c r="L198" i="1" s="1"/>
  <c r="L206" i="1"/>
  <c r="L205" i="1" s="1"/>
  <c r="L204" i="1" s="1"/>
  <c r="L210" i="1"/>
  <c r="L209" i="1" s="1"/>
  <c r="L208" i="1" s="1"/>
  <c r="L214" i="1"/>
  <c r="L213" i="1" s="1"/>
  <c r="L212" i="1" s="1"/>
  <c r="J212" i="1" s="1"/>
  <c r="A212" i="1" s="1"/>
  <c r="L37" i="1"/>
  <c r="L36" i="1" s="1"/>
  <c r="N120" i="1"/>
  <c r="AK120" i="1" s="1"/>
  <c r="N119" i="1"/>
  <c r="AK119" i="1" s="1"/>
  <c r="N79" i="1"/>
  <c r="AK79" i="1" s="1"/>
  <c r="J311" i="1"/>
  <c r="J134" i="1"/>
  <c r="A134" i="1" s="1"/>
  <c r="K133" i="1"/>
  <c r="J133" i="1" s="1"/>
  <c r="A133" i="1" s="1"/>
  <c r="J203" i="1"/>
  <c r="A203" i="1" s="1"/>
  <c r="J26" i="1"/>
  <c r="A26" i="1" s="1"/>
  <c r="J104" i="1"/>
  <c r="A104" i="1" s="1"/>
  <c r="N38" i="1"/>
  <c r="AK38" i="1" s="1"/>
  <c r="J38" i="1"/>
  <c r="A38" i="1" s="1"/>
  <c r="N36" i="1"/>
  <c r="AK36" i="1" s="1"/>
  <c r="N35" i="1"/>
  <c r="AK35" i="1" s="1"/>
  <c r="N25" i="1"/>
  <c r="AK25" i="1" s="1"/>
  <c r="J25" i="1"/>
  <c r="A25" i="1" s="1"/>
  <c r="J110" i="1"/>
  <c r="A110" i="1" s="1"/>
  <c r="J141" i="1"/>
  <c r="A141" i="1" s="1"/>
  <c r="J142" i="1"/>
  <c r="A142" i="1" s="1"/>
  <c r="J118" i="1"/>
  <c r="A118" i="1" s="1"/>
  <c r="J281" i="1"/>
  <c r="A281" i="1" s="1"/>
  <c r="J282" i="1"/>
  <c r="A282" i="1" s="1"/>
  <c r="N176" i="1"/>
  <c r="AK176" i="1" s="1"/>
  <c r="J176" i="1"/>
  <c r="A176" i="1" s="1"/>
  <c r="J59" i="1"/>
  <c r="A59" i="1" s="1"/>
  <c r="N48" i="1"/>
  <c r="AK48" i="1" s="1"/>
  <c r="J48" i="1"/>
  <c r="A48" i="1" s="1"/>
  <c r="J49" i="1"/>
  <c r="A49" i="1" s="1"/>
  <c r="J11" i="1"/>
  <c r="A11" i="1" s="1"/>
  <c r="J12" i="1"/>
  <c r="A12" i="1" s="1"/>
  <c r="J15" i="1"/>
  <c r="A15" i="1" s="1"/>
  <c r="J16" i="1"/>
  <c r="A16" i="1" s="1"/>
  <c r="J17" i="1"/>
  <c r="A17" i="1" s="1"/>
  <c r="J18" i="1"/>
  <c r="A18" i="1" s="1"/>
  <c r="J20" i="1"/>
  <c r="A20" i="1" s="1"/>
  <c r="J21" i="1"/>
  <c r="A21" i="1" s="1"/>
  <c r="J27" i="1"/>
  <c r="A27" i="1" s="1"/>
  <c r="J34" i="1"/>
  <c r="A34" i="1" s="1"/>
  <c r="J42" i="1"/>
  <c r="A42" i="1" s="1"/>
  <c r="J46" i="1"/>
  <c r="A46" i="1" s="1"/>
  <c r="J47" i="1"/>
  <c r="A47" i="1" s="1"/>
  <c r="J53" i="1"/>
  <c r="A53" i="1" s="1"/>
  <c r="J54" i="1"/>
  <c r="A54" i="1" s="1"/>
  <c r="J58" i="1"/>
  <c r="A58" i="1" s="1"/>
  <c r="J60" i="1"/>
  <c r="A60" i="1" s="1"/>
  <c r="J61" i="1"/>
  <c r="A61" i="1" s="1"/>
  <c r="J62" i="1"/>
  <c r="A62" i="1" s="1"/>
  <c r="J63" i="1"/>
  <c r="A63" i="1" s="1"/>
  <c r="A64" i="1"/>
  <c r="A65" i="1"/>
  <c r="A66" i="1"/>
  <c r="J67" i="1"/>
  <c r="A67" i="1" s="1"/>
  <c r="J68" i="1"/>
  <c r="A68" i="1" s="1"/>
  <c r="L71" i="1"/>
  <c r="J72" i="1"/>
  <c r="A72" i="1" s="1"/>
  <c r="J73" i="1"/>
  <c r="A73" i="1" s="1"/>
  <c r="A74" i="1"/>
  <c r="J97" i="1"/>
  <c r="A97" i="1" s="1"/>
  <c r="K98" i="1"/>
  <c r="L99" i="1"/>
  <c r="J99" i="1" s="1"/>
  <c r="A99" i="1" s="1"/>
  <c r="L100" i="1"/>
  <c r="J100" i="1" s="1"/>
  <c r="A100" i="1" s="1"/>
  <c r="J105" i="1"/>
  <c r="A105" i="1" s="1"/>
  <c r="A106" i="1"/>
  <c r="J109" i="1"/>
  <c r="A109" i="1" s="1"/>
  <c r="J126" i="1"/>
  <c r="A126" i="1" s="1"/>
  <c r="K129" i="1"/>
  <c r="J130" i="1"/>
  <c r="A130" i="1" s="1"/>
  <c r="J138" i="1"/>
  <c r="A138" i="1" s="1"/>
  <c r="J148" i="1"/>
  <c r="A148" i="1" s="1"/>
  <c r="J149" i="1"/>
  <c r="A149" i="1" s="1"/>
  <c r="J150" i="1"/>
  <c r="A150" i="1" s="1"/>
  <c r="J152" i="1"/>
  <c r="A152" i="1" s="1"/>
  <c r="J153" i="1"/>
  <c r="A153" i="1" s="1"/>
  <c r="J155" i="1"/>
  <c r="A155" i="1" s="1"/>
  <c r="J156" i="1"/>
  <c r="A156" i="1" s="1"/>
  <c r="J157" i="1"/>
  <c r="A157" i="1" s="1"/>
  <c r="J159" i="1"/>
  <c r="A159" i="1" s="1"/>
  <c r="J160" i="1"/>
  <c r="A160" i="1" s="1"/>
  <c r="J161" i="1"/>
  <c r="A161" i="1" s="1"/>
  <c r="J162" i="1"/>
  <c r="A162" i="1" s="1"/>
  <c r="J163" i="1"/>
  <c r="A163" i="1" s="1"/>
  <c r="J164" i="1"/>
  <c r="A164" i="1" s="1"/>
  <c r="J165" i="1"/>
  <c r="A165" i="1" s="1"/>
  <c r="K168" i="1"/>
  <c r="L168" i="1"/>
  <c r="J169" i="1"/>
  <c r="A169" i="1" s="1"/>
  <c r="K171" i="1"/>
  <c r="L171" i="1"/>
  <c r="J172" i="1"/>
  <c r="A172" i="1" s="1"/>
  <c r="J177" i="1"/>
  <c r="A177" i="1" s="1"/>
  <c r="K180" i="1"/>
  <c r="L180" i="1"/>
  <c r="J181" i="1"/>
  <c r="A181" i="1" s="1"/>
  <c r="K184" i="1"/>
  <c r="L184" i="1"/>
  <c r="J185" i="1"/>
  <c r="A185" i="1" s="1"/>
  <c r="K188" i="1"/>
  <c r="L188" i="1"/>
  <c r="J189" i="1"/>
  <c r="A189" i="1" s="1"/>
  <c r="K192" i="1"/>
  <c r="L192" i="1"/>
  <c r="J193" i="1"/>
  <c r="A193" i="1" s="1"/>
  <c r="J197" i="1"/>
  <c r="A197" i="1" s="1"/>
  <c r="J201" i="1"/>
  <c r="A201" i="1" s="1"/>
  <c r="J202" i="1"/>
  <c r="A202" i="1" s="1"/>
  <c r="J207" i="1"/>
  <c r="A207" i="1" s="1"/>
  <c r="J211" i="1"/>
  <c r="A211" i="1" s="1"/>
  <c r="J215" i="1"/>
  <c r="A215" i="1" s="1"/>
  <c r="J216" i="1"/>
  <c r="A216" i="1" s="1"/>
  <c r="J220" i="1"/>
  <c r="A220" i="1" s="1"/>
  <c r="J221" i="1"/>
  <c r="A221" i="1" s="1"/>
  <c r="J222" i="1"/>
  <c r="A222" i="1" s="1"/>
  <c r="J223" i="1"/>
  <c r="A223" i="1" s="1"/>
  <c r="J224" i="1"/>
  <c r="A224" i="1" s="1"/>
  <c r="J225" i="1"/>
  <c r="A225" i="1" s="1"/>
  <c r="J226" i="1"/>
  <c r="A226" i="1" s="1"/>
  <c r="J227" i="1"/>
  <c r="A227" i="1" s="1"/>
  <c r="J228" i="1"/>
  <c r="A228" i="1" s="1"/>
  <c r="J229" i="1"/>
  <c r="A229" i="1" s="1"/>
  <c r="J230" i="1"/>
  <c r="A230" i="1" s="1"/>
  <c r="J231" i="1"/>
  <c r="A231" i="1" s="1"/>
  <c r="J233" i="1"/>
  <c r="A233" i="1" s="1"/>
  <c r="J234" i="1"/>
  <c r="A234" i="1" s="1"/>
  <c r="J235" i="1"/>
  <c r="A235" i="1" s="1"/>
  <c r="J236" i="1"/>
  <c r="A236" i="1" s="1"/>
  <c r="J237" i="1"/>
  <c r="A237" i="1" s="1"/>
  <c r="J238" i="1"/>
  <c r="A238" i="1" s="1"/>
  <c r="J239" i="1"/>
  <c r="A239" i="1" s="1"/>
  <c r="J240" i="1"/>
  <c r="A240" i="1" s="1"/>
  <c r="J241" i="1"/>
  <c r="A241" i="1" s="1"/>
  <c r="J242" i="1"/>
  <c r="A242" i="1" s="1"/>
  <c r="J243" i="1"/>
  <c r="A243" i="1" s="1"/>
  <c r="J244" i="1"/>
  <c r="A244" i="1" s="1"/>
  <c r="J247" i="1"/>
  <c r="A247" i="1" s="1"/>
  <c r="J248" i="1"/>
  <c r="A248" i="1" s="1"/>
  <c r="J249" i="1"/>
  <c r="A249" i="1" s="1"/>
  <c r="J250" i="1"/>
  <c r="A250" i="1" s="1"/>
  <c r="J251" i="1"/>
  <c r="A251" i="1" s="1"/>
  <c r="J252" i="1"/>
  <c r="A252" i="1" s="1"/>
  <c r="J253" i="1"/>
  <c r="A253" i="1" s="1"/>
  <c r="J256" i="1"/>
  <c r="A256" i="1" s="1"/>
  <c r="J257" i="1"/>
  <c r="A257" i="1" s="1"/>
  <c r="A261" i="1"/>
  <c r="J265" i="1"/>
  <c r="A265" i="1" s="1"/>
  <c r="J268" i="1"/>
  <c r="A268" i="1" s="1"/>
  <c r="J269" i="1"/>
  <c r="A269" i="1" s="1"/>
  <c r="J270" i="1"/>
  <c r="A270" i="1" s="1"/>
  <c r="J271" i="1"/>
  <c r="A271" i="1" s="1"/>
  <c r="J272" i="1"/>
  <c r="A272" i="1" s="1"/>
  <c r="J273" i="1"/>
  <c r="A273" i="1" s="1"/>
  <c r="J274" i="1"/>
  <c r="A274" i="1" s="1"/>
  <c r="J275" i="1"/>
  <c r="A275" i="1" s="1"/>
  <c r="J276" i="1"/>
  <c r="A276" i="1" s="1"/>
  <c r="J277" i="1"/>
  <c r="A277" i="1" s="1"/>
  <c r="J278" i="1"/>
  <c r="A278" i="1" s="1"/>
  <c r="J284" i="1"/>
  <c r="A284" i="1" s="1"/>
  <c r="J286" i="1"/>
  <c r="A286" i="1" s="1"/>
  <c r="J287" i="1"/>
  <c r="A287" i="1" s="1"/>
  <c r="J288" i="1"/>
  <c r="A288" i="1" s="1"/>
  <c r="J289" i="1"/>
  <c r="A289" i="1" s="1"/>
  <c r="J290" i="1"/>
  <c r="A290" i="1" s="1"/>
  <c r="J293" i="1"/>
  <c r="A293" i="1" s="1"/>
  <c r="J294" i="1"/>
  <c r="A294" i="1" s="1"/>
  <c r="N293" i="1"/>
  <c r="AK293" i="1" s="1"/>
  <c r="N291" i="1"/>
  <c r="AK291" i="1" s="1"/>
  <c r="N199" i="1"/>
  <c r="AK199" i="1" s="1"/>
  <c r="N20" i="1"/>
  <c r="AK20" i="1" s="1"/>
  <c r="J342" i="1"/>
  <c r="J341" i="1"/>
  <c r="J340" i="1"/>
  <c r="J339" i="1"/>
  <c r="J338" i="1"/>
  <c r="J337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N134" i="1"/>
  <c r="AK134" i="1" s="1"/>
  <c r="N130" i="1"/>
  <c r="AK130" i="1" s="1"/>
  <c r="N128" i="1"/>
  <c r="AK128" i="1" s="1"/>
  <c r="N207" i="1"/>
  <c r="AK207" i="1" s="1"/>
  <c r="N141" i="1"/>
  <c r="N140" i="1" s="1"/>
  <c r="N139" i="1" s="1"/>
  <c r="AK139" i="1" s="1"/>
  <c r="M192" i="1"/>
  <c r="M71" i="1"/>
  <c r="N32" i="1"/>
  <c r="AK32" i="1" s="1"/>
  <c r="N31" i="1"/>
  <c r="AK31" i="1" s="1"/>
  <c r="M188" i="1"/>
  <c r="M184" i="1"/>
  <c r="M180" i="1"/>
  <c r="M100" i="1"/>
  <c r="M99" i="1"/>
  <c r="M98" i="1" s="1"/>
  <c r="N247" i="1"/>
  <c r="AK247" i="1" s="1"/>
  <c r="N211" i="1"/>
  <c r="AK211" i="1" s="1"/>
  <c r="N209" i="1"/>
  <c r="AK209" i="1" s="1"/>
  <c r="N208" i="1"/>
  <c r="AK208" i="1" s="1"/>
  <c r="N205" i="1"/>
  <c r="AK205" i="1" s="1"/>
  <c r="N204" i="1"/>
  <c r="AK204" i="1" s="1"/>
  <c r="N93" i="1"/>
  <c r="AK93" i="1" s="1"/>
  <c r="N21" i="1"/>
  <c r="AK21" i="1" s="1"/>
  <c r="N282" i="1"/>
  <c r="AK282" i="1" s="1"/>
  <c r="N202" i="1"/>
  <c r="AK202" i="1" s="1"/>
  <c r="N198" i="1"/>
  <c r="AK198" i="1" s="1"/>
  <c r="N193" i="1"/>
  <c r="AK193" i="1" s="1"/>
  <c r="N191" i="1"/>
  <c r="AK191" i="1" s="1"/>
  <c r="N190" i="1"/>
  <c r="AK190" i="1" s="1"/>
  <c r="N241" i="1"/>
  <c r="AK241" i="1" s="1"/>
  <c r="N47" i="1"/>
  <c r="AK47" i="1" s="1"/>
  <c r="N135" i="1"/>
  <c r="AK135" i="1" s="1"/>
  <c r="N132" i="1"/>
  <c r="AK132" i="1" s="1"/>
  <c r="N131" i="1"/>
  <c r="AK131" i="1" s="1"/>
  <c r="N78" i="1"/>
  <c r="AK78" i="1" s="1"/>
  <c r="N280" i="1"/>
  <c r="AK280" i="1" s="1"/>
  <c r="N270" i="1"/>
  <c r="AK270" i="1" s="1"/>
  <c r="N269" i="1"/>
  <c r="AK269" i="1" s="1"/>
  <c r="N49" i="1"/>
  <c r="AK49" i="1" s="1"/>
  <c r="N290" i="1"/>
  <c r="AK290" i="1" s="1"/>
  <c r="N195" i="1"/>
  <c r="AK195" i="1" s="1"/>
  <c r="N194" i="1"/>
  <c r="AK194" i="1" s="1"/>
  <c r="N44" i="1"/>
  <c r="AK44" i="1" s="1"/>
  <c r="N43" i="1"/>
  <c r="AK43" i="1" s="1"/>
  <c r="N189" i="1"/>
  <c r="AK189" i="1" s="1"/>
  <c r="N187" i="1"/>
  <c r="AK187" i="1" s="1"/>
  <c r="N186" i="1"/>
  <c r="AK186" i="1" s="1"/>
  <c r="N15" i="1"/>
  <c r="AK15" i="1" s="1"/>
  <c r="N277" i="1"/>
  <c r="AK277" i="1" s="1"/>
  <c r="N275" i="1"/>
  <c r="AK275" i="1" s="1"/>
  <c r="Z8" i="1"/>
  <c r="AA8" i="1"/>
  <c r="AA295" i="1" s="1"/>
  <c r="AB8" i="1"/>
  <c r="AB295" i="1" s="1"/>
  <c r="AC8" i="1"/>
  <c r="AC295" i="1" s="1"/>
  <c r="AD8" i="1"/>
  <c r="AD295" i="1" s="1"/>
  <c r="AE8" i="1"/>
  <c r="AE295" i="1" s="1"/>
  <c r="AF8" i="1"/>
  <c r="AF295" i="1" s="1"/>
  <c r="AG8" i="1"/>
  <c r="AG295" i="1" s="1"/>
  <c r="AH8" i="1"/>
  <c r="AH295" i="1" s="1"/>
  <c r="AI8" i="1"/>
  <c r="AI295" i="1" s="1"/>
  <c r="O8" i="1"/>
  <c r="O295" i="1" s="1"/>
  <c r="P8" i="1"/>
  <c r="P295" i="1" s="1"/>
  <c r="Q8" i="1"/>
  <c r="Q295" i="1" s="1"/>
  <c r="R8" i="1"/>
  <c r="R295" i="1" s="1"/>
  <c r="S8" i="1"/>
  <c r="S295" i="1" s="1"/>
  <c r="T8" i="1"/>
  <c r="T295" i="1" s="1"/>
  <c r="U8" i="1"/>
  <c r="U295" i="1" s="1"/>
  <c r="V8" i="1"/>
  <c r="V295" i="1" s="1"/>
  <c r="W8" i="1"/>
  <c r="W295" i="1" s="1"/>
  <c r="N22" i="1"/>
  <c r="AK22" i="1" s="1"/>
  <c r="N39" i="1"/>
  <c r="AK39" i="1" s="1"/>
  <c r="N50" i="1"/>
  <c r="AK50" i="1" s="1"/>
  <c r="N55" i="1"/>
  <c r="AK55" i="1" s="1"/>
  <c r="N75" i="1"/>
  <c r="AK75" i="1" s="1"/>
  <c r="N101" i="1"/>
  <c r="AK101" i="1" s="1"/>
  <c r="N145" i="1"/>
  <c r="AK145" i="1" s="1"/>
  <c r="N173" i="1"/>
  <c r="AK173" i="1" s="1"/>
  <c r="N123" i="1"/>
  <c r="AK123" i="1" s="1"/>
  <c r="N127" i="1"/>
  <c r="AK127" i="1" s="1"/>
  <c r="N182" i="1"/>
  <c r="AK182" i="1" s="1"/>
  <c r="N69" i="1"/>
  <c r="AK69" i="1" s="1"/>
  <c r="N212" i="1"/>
  <c r="AK212" i="1" s="1"/>
  <c r="N217" i="1"/>
  <c r="AK217" i="1" s="1"/>
  <c r="N82" i="1"/>
  <c r="AK82" i="1" s="1"/>
  <c r="N9" i="1"/>
  <c r="AK9" i="1" s="1"/>
  <c r="N11" i="1"/>
  <c r="AK11" i="1" s="1"/>
  <c r="N13" i="1"/>
  <c r="AK13" i="1" s="1"/>
  <c r="N23" i="1"/>
  <c r="AK23" i="1" s="1"/>
  <c r="N27" i="1"/>
  <c r="AK27" i="1" s="1"/>
  <c r="N40" i="1"/>
  <c r="AK40" i="1" s="1"/>
  <c r="N42" i="1"/>
  <c r="AK42" i="1" s="1"/>
  <c r="N51" i="1"/>
  <c r="AK51" i="1" s="1"/>
  <c r="N54" i="1"/>
  <c r="AK54" i="1" s="1"/>
  <c r="N56" i="1"/>
  <c r="AK56" i="1" s="1"/>
  <c r="N58" i="1"/>
  <c r="AK58" i="1" s="1"/>
  <c r="N65" i="1"/>
  <c r="AK65" i="1" s="1"/>
  <c r="N66" i="1"/>
  <c r="AK66" i="1" s="1"/>
  <c r="N68" i="1"/>
  <c r="AK68" i="1" s="1"/>
  <c r="N76" i="1"/>
  <c r="AK76" i="1" s="1"/>
  <c r="N94" i="1"/>
  <c r="AK94" i="1" s="1"/>
  <c r="N95" i="1"/>
  <c r="AK95" i="1" s="1"/>
  <c r="N100" i="1"/>
  <c r="AK100" i="1" s="1"/>
  <c r="N102" i="1"/>
  <c r="AK102" i="1" s="1"/>
  <c r="N105" i="1"/>
  <c r="AK105" i="1" s="1"/>
  <c r="N146" i="1"/>
  <c r="AK146" i="1" s="1"/>
  <c r="N155" i="1"/>
  <c r="AK155" i="1" s="1"/>
  <c r="N156" i="1"/>
  <c r="AK156" i="1" s="1"/>
  <c r="N161" i="1"/>
  <c r="AK161" i="1" s="1"/>
  <c r="N162" i="1"/>
  <c r="AK162" i="1" s="1"/>
  <c r="N165" i="1"/>
  <c r="AK165" i="1" s="1"/>
  <c r="N174" i="1"/>
  <c r="AK174" i="1" s="1"/>
  <c r="N177" i="1"/>
  <c r="AK177" i="1" s="1"/>
  <c r="N124" i="1"/>
  <c r="AK124" i="1" s="1"/>
  <c r="N126" i="1"/>
  <c r="AK126" i="1" s="1"/>
  <c r="N178" i="1"/>
  <c r="AK178" i="1" s="1"/>
  <c r="N179" i="1"/>
  <c r="AK179" i="1" s="1"/>
  <c r="N181" i="1"/>
  <c r="AK181" i="1" s="1"/>
  <c r="N183" i="1"/>
  <c r="AK183" i="1" s="1"/>
  <c r="N185" i="1"/>
  <c r="AK185" i="1" s="1"/>
  <c r="N70" i="1"/>
  <c r="AK70" i="1" s="1"/>
  <c r="N74" i="1"/>
  <c r="AK74" i="1" s="1"/>
  <c r="N213" i="1"/>
  <c r="AK213" i="1" s="1"/>
  <c r="N216" i="1"/>
  <c r="AK216" i="1" s="1"/>
  <c r="N218" i="1"/>
  <c r="AK218" i="1" s="1"/>
  <c r="N237" i="1"/>
  <c r="AK237" i="1" s="1"/>
  <c r="N242" i="1"/>
  <c r="AK242" i="1" s="1"/>
  <c r="N245" i="1"/>
  <c r="AK245" i="1" s="1"/>
  <c r="N249" i="1"/>
  <c r="AK249" i="1" s="1"/>
  <c r="N254" i="1"/>
  <c r="AK254" i="1" s="1"/>
  <c r="N256" i="1"/>
  <c r="AK256" i="1" s="1"/>
  <c r="N258" i="1"/>
  <c r="AK258" i="1" s="1"/>
  <c r="N265" i="1"/>
  <c r="AK265" i="1" s="1"/>
  <c r="N266" i="1"/>
  <c r="AK266" i="1" s="1"/>
  <c r="AJ8" i="1"/>
  <c r="AJ295" i="1" s="1"/>
  <c r="X8" i="1"/>
  <c r="X295" i="1" s="1"/>
  <c r="L98" i="1"/>
  <c r="K77" i="1"/>
  <c r="K76" i="1" s="1"/>
  <c r="J206" i="1"/>
  <c r="A206" i="1" s="1"/>
  <c r="A79" i="1"/>
  <c r="J214" i="1"/>
  <c r="A214" i="1" s="1"/>
  <c r="L43" i="1"/>
  <c r="J22" i="1"/>
  <c r="A22" i="1" s="1"/>
  <c r="L35" i="1"/>
  <c r="L174" i="1"/>
  <c r="J174" i="1" s="1"/>
  <c r="A174" i="1" s="1"/>
  <c r="K69" i="1"/>
  <c r="J69" i="1" s="1"/>
  <c r="A69" i="1" s="1"/>
  <c r="K32" i="1"/>
  <c r="J32" i="1" s="1"/>
  <c r="A32" i="1" s="1"/>
  <c r="K50" i="1"/>
  <c r="J36" i="1"/>
  <c r="A36" i="1" s="1"/>
  <c r="J205" i="1" l="1"/>
  <c r="A205" i="1" s="1"/>
  <c r="J171" i="1"/>
  <c r="A171" i="1" s="1"/>
  <c r="J184" i="1"/>
  <c r="A184" i="1" s="1"/>
  <c r="K147" i="1"/>
  <c r="K146" i="1" s="1"/>
  <c r="K145" i="1" s="1"/>
  <c r="J194" i="1"/>
  <c r="A194" i="1" s="1"/>
  <c r="L135" i="1"/>
  <c r="J136" i="1"/>
  <c r="A136" i="1" s="1"/>
  <c r="J10" i="1"/>
  <c r="A10" i="1" s="1"/>
  <c r="J195" i="1"/>
  <c r="A195" i="1" s="1"/>
  <c r="J178" i="1"/>
  <c r="A178" i="1" s="1"/>
  <c r="J188" i="1"/>
  <c r="A188" i="1" s="1"/>
  <c r="J51" i="1"/>
  <c r="A51" i="1" s="1"/>
  <c r="J213" i="1"/>
  <c r="A213" i="1" s="1"/>
  <c r="J44" i="1"/>
  <c r="A44" i="1" s="1"/>
  <c r="J45" i="1"/>
  <c r="A45" i="1" s="1"/>
  <c r="J204" i="1"/>
  <c r="A204" i="1" s="1"/>
  <c r="J186" i="1"/>
  <c r="A186" i="1" s="1"/>
  <c r="J50" i="1"/>
  <c r="A50" i="1" s="1"/>
  <c r="J43" i="1"/>
  <c r="A43" i="1" s="1"/>
  <c r="J139" i="1"/>
  <c r="A139" i="1" s="1"/>
  <c r="K135" i="1"/>
  <c r="J121" i="1"/>
  <c r="A121" i="1" s="1"/>
  <c r="J108" i="1"/>
  <c r="A108" i="1" s="1"/>
  <c r="J292" i="1"/>
  <c r="A292" i="1" s="1"/>
  <c r="J129" i="1"/>
  <c r="A129" i="1" s="1"/>
  <c r="L147" i="1"/>
  <c r="L146" i="1" s="1"/>
  <c r="L145" i="1" s="1"/>
  <c r="J33" i="1"/>
  <c r="A33" i="1" s="1"/>
  <c r="K101" i="1"/>
  <c r="J132" i="1"/>
  <c r="A132" i="1" s="1"/>
  <c r="J192" i="1"/>
  <c r="A192" i="1" s="1"/>
  <c r="J168" i="1"/>
  <c r="A168" i="1" s="1"/>
  <c r="J103" i="1"/>
  <c r="A103" i="1" s="1"/>
  <c r="J198" i="1"/>
  <c r="A198" i="1" s="1"/>
  <c r="J135" i="1"/>
  <c r="A135" i="1" s="1"/>
  <c r="J124" i="1"/>
  <c r="A124" i="1" s="1"/>
  <c r="J98" i="1"/>
  <c r="A98" i="1" s="1"/>
  <c r="J180" i="1"/>
  <c r="A180" i="1" s="1"/>
  <c r="J70" i="1"/>
  <c r="A70" i="1" s="1"/>
  <c r="J254" i="1"/>
  <c r="A254" i="1" s="1"/>
  <c r="J154" i="1"/>
  <c r="A154" i="1" s="1"/>
  <c r="J200" i="1"/>
  <c r="A200" i="1" s="1"/>
  <c r="J123" i="1"/>
  <c r="A123" i="1" s="1"/>
  <c r="J9" i="1"/>
  <c r="A9" i="1" s="1"/>
  <c r="J127" i="1"/>
  <c r="A127" i="1" s="1"/>
  <c r="J37" i="1"/>
  <c r="A37" i="1" s="1"/>
  <c r="J208" i="1"/>
  <c r="A208" i="1" s="1"/>
  <c r="J158" i="1"/>
  <c r="A158" i="1" s="1"/>
  <c r="J258" i="1"/>
  <c r="A258" i="1" s="1"/>
  <c r="M101" i="1"/>
  <c r="L101" i="1"/>
  <c r="L173" i="1"/>
  <c r="J173" i="1" s="1"/>
  <c r="A173" i="1" s="1"/>
  <c r="J246" i="1"/>
  <c r="A246" i="1" s="1"/>
  <c r="J140" i="1"/>
  <c r="A140" i="1" s="1"/>
  <c r="J113" i="1"/>
  <c r="A113" i="1" s="1"/>
  <c r="J107" i="1"/>
  <c r="A107" i="1" s="1"/>
  <c r="J24" i="1"/>
  <c r="A24" i="1" s="1"/>
  <c r="J179" i="1"/>
  <c r="A179" i="1" s="1"/>
  <c r="J23" i="1"/>
  <c r="A23" i="1" s="1"/>
  <c r="J187" i="1"/>
  <c r="A187" i="1" s="1"/>
  <c r="J196" i="1"/>
  <c r="A196" i="1" s="1"/>
  <c r="J137" i="1"/>
  <c r="A137" i="1" s="1"/>
  <c r="J117" i="1"/>
  <c r="A117" i="1" s="1"/>
  <c r="J255" i="1"/>
  <c r="A255" i="1" s="1"/>
  <c r="J71" i="1"/>
  <c r="A71" i="1" s="1"/>
  <c r="J182" i="1"/>
  <c r="A182" i="1" s="1"/>
  <c r="J167" i="1"/>
  <c r="A167" i="1" s="1"/>
  <c r="J57" i="1"/>
  <c r="A57" i="1" s="1"/>
  <c r="J55" i="1"/>
  <c r="A55" i="1" s="1"/>
  <c r="J56" i="1"/>
  <c r="A56" i="1" s="1"/>
  <c r="M8" i="1"/>
  <c r="L14" i="1"/>
  <c r="J209" i="1"/>
  <c r="A209" i="1" s="1"/>
  <c r="J128" i="1"/>
  <c r="A128" i="1" s="1"/>
  <c r="J52" i="1"/>
  <c r="A52" i="1" s="1"/>
  <c r="J232" i="1"/>
  <c r="A232" i="1" s="1"/>
  <c r="J40" i="1"/>
  <c r="A40" i="1" s="1"/>
  <c r="K8" i="1"/>
  <c r="J41" i="1"/>
  <c r="A41" i="1" s="1"/>
  <c r="J199" i="1"/>
  <c r="A199" i="1" s="1"/>
  <c r="J210" i="1"/>
  <c r="A210" i="1" s="1"/>
  <c r="J183" i="1"/>
  <c r="A183" i="1" s="1"/>
  <c r="J77" i="1"/>
  <c r="A77" i="1" s="1"/>
  <c r="J259" i="1"/>
  <c r="A259" i="1" s="1"/>
  <c r="J35" i="1"/>
  <c r="A35" i="1" s="1"/>
  <c r="N8" i="1"/>
  <c r="N295" i="1" s="1"/>
  <c r="J191" i="1"/>
  <c r="A191" i="1" s="1"/>
  <c r="J125" i="1"/>
  <c r="A125" i="1" s="1"/>
  <c r="J112" i="1"/>
  <c r="A112" i="1" s="1"/>
  <c r="K31" i="1"/>
  <c r="J31" i="1" s="1"/>
  <c r="A31" i="1" s="1"/>
  <c r="L39" i="1"/>
  <c r="J39" i="1" s="1"/>
  <c r="A39" i="1" s="1"/>
  <c r="M135" i="1"/>
  <c r="K119" i="1"/>
  <c r="J119" i="1" s="1"/>
  <c r="A119" i="1" s="1"/>
  <c r="J120" i="1"/>
  <c r="A120" i="1" s="1"/>
  <c r="J310" i="1"/>
  <c r="K75" i="1"/>
  <c r="J75" i="1" s="1"/>
  <c r="A75" i="1" s="1"/>
  <c r="J76" i="1"/>
  <c r="A76" i="1" s="1"/>
  <c r="L219" i="1"/>
  <c r="J170" i="1"/>
  <c r="A170" i="1" s="1"/>
  <c r="L267" i="1"/>
  <c r="L266" i="1" s="1"/>
  <c r="M267" i="1"/>
  <c r="M266" i="1" s="1"/>
  <c r="M219" i="1"/>
  <c r="M218" i="1" s="1"/>
  <c r="J116" i="1"/>
  <c r="A116" i="1" s="1"/>
  <c r="Z295" i="1"/>
  <c r="Y8" i="1"/>
  <c r="AK141" i="1"/>
  <c r="J101" i="1" l="1"/>
  <c r="A101" i="1" s="1"/>
  <c r="J147" i="1"/>
  <c r="A147" i="1" s="1"/>
  <c r="L13" i="1"/>
  <c r="J14" i="1"/>
  <c r="A14" i="1" s="1"/>
  <c r="M217" i="1"/>
  <c r="M295" i="1" s="1"/>
  <c r="L218" i="1"/>
  <c r="J219" i="1"/>
  <c r="A219" i="1" s="1"/>
  <c r="K266" i="1"/>
  <c r="J267" i="1"/>
  <c r="A267" i="1" s="1"/>
  <c r="Y295" i="1"/>
  <c r="AK8" i="1"/>
  <c r="AK295" i="1" s="1"/>
  <c r="M307" i="1" l="1"/>
  <c r="M309" i="1" s="1"/>
  <c r="M351" i="1"/>
  <c r="M353" i="1" s="1"/>
  <c r="J13" i="1"/>
  <c r="A13" i="1" s="1"/>
  <c r="L8" i="1"/>
  <c r="J8" i="1" s="1"/>
  <c r="A8" i="1" s="1"/>
  <c r="J146" i="1"/>
  <c r="A146" i="1" s="1"/>
  <c r="J145" i="1"/>
  <c r="A145" i="1" s="1"/>
  <c r="J218" i="1"/>
  <c r="A218" i="1" s="1"/>
  <c r="L217" i="1"/>
  <c r="L295" i="1" s="1"/>
  <c r="J266" i="1"/>
  <c r="A266" i="1" s="1"/>
  <c r="K217" i="1"/>
  <c r="H315" i="1" l="1"/>
  <c r="L351" i="1"/>
  <c r="L353" i="1" s="1"/>
  <c r="L307" i="1"/>
  <c r="L309" i="1" s="1"/>
  <c r="J217" i="1"/>
  <c r="A217" i="1" s="1"/>
  <c r="K295" i="1"/>
  <c r="K351" i="1" s="1"/>
  <c r="K353" i="1" s="1"/>
  <c r="J295" i="1" l="1"/>
  <c r="J351" i="1" s="1"/>
  <c r="J353" i="1" s="1"/>
  <c r="K307" i="1"/>
  <c r="K309" i="1" s="1"/>
  <c r="J307" i="1" l="1"/>
  <c r="J309" i="1" s="1"/>
  <c r="A295" i="1"/>
</calcChain>
</file>

<file path=xl/comments1.xml><?xml version="1.0" encoding="utf-8"?>
<comments xmlns="http://schemas.openxmlformats.org/spreadsheetml/2006/main">
  <authors>
    <author>User</author>
  </authors>
  <commentList>
    <comment ref="G68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КФК та програма невідомо</t>
        </r>
      </text>
    </comment>
    <comment ref="K9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9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4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0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5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5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6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6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9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9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<sst xmlns="http://schemas.openxmlformats.org/spreadsheetml/2006/main" count="938" uniqueCount="313">
  <si>
    <t>Загальний фонд</t>
  </si>
  <si>
    <t>Спеціальний фонд</t>
  </si>
  <si>
    <t>Управління освіти  виконавчого комітету                      Новомосковської міської ради</t>
  </si>
  <si>
    <t>Виконавчий комітет  Новомосковської міської ради</t>
  </si>
  <si>
    <t>Усього:</t>
  </si>
  <si>
    <t>грн</t>
  </si>
  <si>
    <t>відхилення від попереднього рішення</t>
  </si>
  <si>
    <t>ПРОФІНАНСОВАНО</t>
  </si>
  <si>
    <t>у т..ч. кредиторська заборгованість на 01.01.2011</t>
  </si>
  <si>
    <t>Управління житлово-комунального господарства та капітального будівництва Новомосковської міської ради</t>
  </si>
  <si>
    <t>РАЗОМ</t>
  </si>
  <si>
    <t>кредиторка</t>
  </si>
  <si>
    <t>п</t>
  </si>
  <si>
    <t>10</t>
  </si>
  <si>
    <t>змагання</t>
  </si>
  <si>
    <t>стипендії кращим спортсменам</t>
  </si>
  <si>
    <t>ДЮСШ "Україна"</t>
  </si>
  <si>
    <t>Цільова соціальна програма "Молодь Новомосковська на 2012-2021 роки"</t>
  </si>
  <si>
    <t>Управління праці та соціального захисту населення м.Новомосковська</t>
  </si>
  <si>
    <t>попередне рішення</t>
  </si>
  <si>
    <t>Програма відновлення та улаштування внутрішньоквартальних та дворових проїздних доріг на 2016-2020 роки</t>
  </si>
  <si>
    <t>Програма охорони навколишнього природного середовища м.Новомосковска на 2016 - 2020 роки</t>
  </si>
  <si>
    <t>1050</t>
  </si>
  <si>
    <t>у тому числі за рахунок субвенції з обласного бюджету</t>
  </si>
  <si>
    <t>сумма изменений</t>
  </si>
  <si>
    <t>Цільова комплексна Програма розвитку фізичної культури та спорту в м. Новомосковську на 2017-2021 роки</t>
  </si>
  <si>
    <t>у тому числі за рахунок субвенції з державного бюджету місцевим бюджетам</t>
  </si>
  <si>
    <t>Програма підтримки заходів призову по мобілізації, на військову службу за контрактом, на строкову військову службу та забезпечення територіальної оборони м.Новомосковськ на 2017-2021 роки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</si>
  <si>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</si>
  <si>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</si>
  <si>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</si>
  <si>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</si>
  <si>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</si>
  <si>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</si>
  <si>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</si>
  <si>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</si>
  <si>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</si>
  <si>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</si>
  <si>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</si>
  <si>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</si>
  <si>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</si>
  <si>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</si>
  <si>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</si>
  <si>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</si>
  <si>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</si>
  <si>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</si>
  <si>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</si>
  <si>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</si>
  <si>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</si>
  <si>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</si>
  <si>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</si>
  <si>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</si>
  <si>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</si>
  <si>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</si>
  <si>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</si>
  <si>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</si>
  <si>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</si>
  <si>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</si>
  <si>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</si>
  <si>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</si>
  <si>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</si>
  <si>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</si>
  <si>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</si>
  <si>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</si>
  <si>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</si>
  <si>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</si>
  <si>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</si>
  <si>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</si>
  <si>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</si>
  <si>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</si>
  <si>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</si>
  <si>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</si>
  <si>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</si>
  <si>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</si>
  <si>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</si>
  <si>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</si>
  <si>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</si>
  <si>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Організація та проведення громадських робіт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</si>
  <si>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</si>
  <si>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</si>
  <si>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</si>
  <si>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</si>
  <si>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</si>
  <si>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</si>
  <si>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</si>
  <si>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</si>
  <si>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 xml:space="preserve">  Програма створення та використання матеріальних резервів для запобігання ліквідації надзвичайних ситуацій техногенного і природного характеру та їх наслідків у місті Новомосковську на 2018-2022 р.р.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</si>
  <si>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</si>
  <si>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</si>
  <si>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</si>
  <si>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</si>
  <si>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</si>
  <si>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</si>
  <si>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</si>
  <si>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</si>
  <si>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</si>
  <si>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</si>
  <si>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</si>
  <si>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</si>
  <si>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</si>
  <si>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</si>
  <si>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</si>
  <si>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</si>
  <si>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</si>
  <si>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</si>
  <si>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</si>
  <si>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Реалізація проектів в рамках Надзвичайної кредитної програми для відновлення України</t>
  </si>
  <si>
    <t>Секретар міської ради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</si>
  <si>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</si>
  <si>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</si>
  <si>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</si>
  <si>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</si>
  <si>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</si>
  <si>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</si>
  <si>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</si>
  <si>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</si>
  <si>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</si>
  <si>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</si>
  <si>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</si>
  <si>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</si>
  <si>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</si>
  <si>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від 07.07.2017 року № 373</t>
  </si>
  <si>
    <t>Програма фінансової підтримки комунальних підприємств, установ та закладів Новомоскосвської міської ради на 2019-2021 роки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</si>
  <si>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</si>
  <si>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</si>
  <si>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</si>
  <si>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</si>
  <si>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</si>
  <si>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Програма сприяння діяльності об"єднань співвласників багатоквартирних будинків, житлово- будівельних кооперативів міста Новомосковська на 2020-2023 роки</t>
  </si>
  <si>
    <t>Програма "Місцеві стимули для медичних працівників КЗ "Новомосковська ЦМЛ" на 2019-2021 роки" в редакції рішення міської ради від 12.11.2019 року № 1056</t>
  </si>
  <si>
    <t>від 30.11.2018 року № 775, від 12.11.2019 року № 1056</t>
  </si>
  <si>
    <t>від 13.12.2019 року № 1087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</si>
  <si>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</si>
  <si>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</si>
  <si>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</si>
  <si>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від 21.12.2016 року № 292 у редакції від 27.09.2019 р.№ 980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</si>
  <si>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</si>
  <si>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</si>
  <si>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</si>
  <si>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</si>
  <si>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</si>
  <si>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</si>
  <si>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</si>
  <si>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</si>
  <si>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</si>
  <si>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</si>
  <si>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</si>
  <si>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</si>
  <si>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>Керуючий справами</t>
  </si>
  <si>
    <t>Я.М.КЛИМЕНОВ</t>
  </si>
  <si>
    <t>Програма підтримки населення в енергозбереженні житлового сектора міста Новомосковська до 2021 року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</si>
  <si>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</si>
  <si>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</si>
  <si>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Фінансове управління виконавчого комітету Новомосковської міської ради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</si>
  <si>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</si>
  <si>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</si>
  <si>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</si>
  <si>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</si>
  <si>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</si>
  <si>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</si>
  <si>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</si>
  <si>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</si>
  <si>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</si>
  <si>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</si>
  <si>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</si>
  <si>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</si>
  <si>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</si>
  <si>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</si>
  <si>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</si>
  <si>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</si>
  <si>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</si>
  <si>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</si>
  <si>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</si>
  <si>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</si>
  <si>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</si>
  <si>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</si>
  <si>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</si>
  <si>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</si>
  <si>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</si>
  <si>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</si>
  <si>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Програма децентралізації теплопостачання в місті Новомосковську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</si>
  <si>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</si>
  <si>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</si>
  <si>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</si>
  <si>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</si>
  <si>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</si>
  <si>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</si>
  <si>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</si>
  <si>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</si>
  <si>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</si>
  <si>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</si>
  <si>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</si>
  <si>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</si>
  <si>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</si>
  <si>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</si>
  <si>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0813210</t>
  </si>
  <si>
    <t>3210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</si>
  <si>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</si>
  <si>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</si>
  <si>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</si>
  <si>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</si>
  <si>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</si>
  <si>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</si>
  <si>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</si>
  <si>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</si>
  <si>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</si>
  <si>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</si>
  <si>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</si>
  <si>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</si>
  <si>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0217640</t>
  </si>
  <si>
    <t>7640</t>
  </si>
  <si>
    <t>0470</t>
  </si>
  <si>
    <t>Заходи з енергозбереження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</si>
  <si>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</si>
  <si>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</si>
  <si>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</si>
  <si>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</si>
  <si>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</si>
  <si>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</si>
  <si>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поводження з твердими побутовими відходами в м.Новомосковську на 2016-2020 р.р.</t>
  </si>
  <si>
    <t>0213111</t>
  </si>
  <si>
    <t>у тому числі за рахунок субвенції з державного бюджету</t>
  </si>
  <si>
    <t>від 20.10.2017 року № 450</t>
  </si>
  <si>
    <t>від 21.01.2016 року № 63</t>
  </si>
  <si>
    <t>від 20.05.2016 року № 91</t>
  </si>
  <si>
    <t>від 18.12.2017 року № 484</t>
  </si>
  <si>
    <t>від 20.05.2016 року № 92</t>
  </si>
  <si>
    <t>від 12.03.2018 року № 573</t>
  </si>
  <si>
    <t>від 28.02.2019 року № 815</t>
  </si>
  <si>
    <t>1216090</t>
  </si>
  <si>
    <t>6090</t>
  </si>
  <si>
    <t>Інша діяльність у сфері житлово-комунального господарства</t>
  </si>
  <si>
    <t>0810160</t>
  </si>
  <si>
    <t>В.о.начальника фінансового управління</t>
  </si>
  <si>
    <t>0218120</t>
  </si>
  <si>
    <t>8120</t>
  </si>
  <si>
    <t>Заходи з організації рятування на водах</t>
  </si>
  <si>
    <t>Програма інформатизації м.Новомосковська на 2018-2020 р.р</t>
  </si>
  <si>
    <t>від 12.03.2018 року № 551</t>
  </si>
  <si>
    <t>від 21.12.2016 року № 222</t>
  </si>
  <si>
    <t>від 30.11.2018 року №811</t>
  </si>
  <si>
    <t xml:space="preserve">Програма розвитку земельних відносин та охорони земель м.Новомосковськ на 2019-2021 р.р. 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</si>
  <si>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</si>
  <si>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</si>
  <si>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 xml:space="preserve">Програма "Здоров"я населення м.Новомосковськ на період до 2024 року"
</t>
  </si>
  <si>
    <t>від 12.11.2019 року № 1057</t>
  </si>
  <si>
    <t>Міська цільова програма "Партиципаторне бюджетування (бюджет участі) у м.Новомосковську на 2019-2022 роки"</t>
  </si>
  <si>
    <t>Програма  зайнятості населення міста Новомосковська на 2018-2022 роки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</si>
  <si>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2020-2022 роки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</si>
  <si>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</si>
  <si>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</si>
  <si>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</si>
  <si>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</si>
  <si>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Фінансове управління  Новомосковської міської ради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</si>
  <si>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</si>
  <si>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</si>
  <si>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</si>
  <si>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</si>
  <si>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</si>
  <si>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</si>
  <si>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Будівництво інших об"єктів комунальної власності</t>
  </si>
  <si>
    <t>від 28.02.2020 року №1193</t>
  </si>
  <si>
    <t>0217363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</si>
  <si>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</si>
  <si>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</si>
  <si>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</si>
  <si>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</si>
  <si>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Н.М.КОВТУНЕНКО</t>
  </si>
  <si>
    <t>Розподіл витрат бюджету Новомосковської міської територіальної громади на реалізацію місцевих / регіональних програм у 2021 році</t>
  </si>
  <si>
    <t>04582000000</t>
  </si>
  <si>
    <t>від 27.03.2020 року № 1223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</si>
  <si>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2020-2022 року</t>
  </si>
  <si>
    <t>від 30.01.2020 року № 1134; від 25.09.2020 року № 1369</t>
  </si>
  <si>
    <t>Програма охорони, збереження та використання об'єктів культурної спадщини на 2021-2025 р.р.</t>
  </si>
  <si>
    <t>від 29.05.2020 року№ 1262</t>
  </si>
  <si>
    <t xml:space="preserve">Програма соціально-економічного та культурного розвитку міста Новомосковська на 2021 рік 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</si>
  <si>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</si>
  <si>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</si>
  <si>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Міська комплексна Програма "Розвиток соціальних послуг з реалізації права дитини на виховання в сім"ї у м.Новомосковську на 2021-2025 роки</t>
  </si>
  <si>
    <t>від 27.03.2020 року № 1224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</si>
  <si>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</si>
  <si>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</si>
  <si>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від 25.09.2020 року № 1376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</si>
  <si>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</si>
  <si>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</si>
  <si>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</si>
  <si>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</si>
  <si>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</si>
  <si>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</si>
  <si>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</si>
  <si>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</si>
  <si>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</si>
  <si>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</si>
  <si>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</si>
  <si>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</si>
  <si>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 тому числі за рахунок субвенції з місцевого бюджету за рахунок відповідної субвенції з державного бюджету </t>
  </si>
  <si>
    <t>1211021</t>
  </si>
  <si>
    <t>від 21.01.2016 року № 27; від 24.12.2020р.              № 33</t>
  </si>
  <si>
    <t xml:space="preserve">від 24.12.2020р.             року № 18  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</si>
  <si>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</si>
  <si>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</si>
  <si>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від 24.07.2020 року № 1310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</si>
  <si>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</si>
  <si>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1015011</t>
  </si>
  <si>
    <t>1015012</t>
  </si>
  <si>
    <t>1015061</t>
  </si>
  <si>
    <t>1015062</t>
  </si>
  <si>
    <t>Управління  культури, спорту та туризму виконавчого комітету  Новомсковської міської ради</t>
  </si>
  <si>
    <t>Володимир АРУТЮНОВ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</si>
  <si>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</si>
  <si>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</si>
  <si>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r>
      <t xml:space="preserve">Проверка равенства колонок L и M
</t>
    </r>
    <r>
      <rPr>
        <b/>
        <u/>
        <sz val="12"/>
        <color indexed="61"/>
        <rFont val="Bookman Old Style"/>
        <family val="1"/>
        <charset val="204"/>
      </rPr>
      <t xml:space="preserve">В КОЛОНКЕ </t>
    </r>
    <r>
      <rPr>
        <b/>
        <i/>
        <u/>
        <sz val="12"/>
        <color indexed="61"/>
        <rFont val="Bookman Old Style"/>
        <family val="1"/>
        <charset val="204"/>
      </rPr>
      <t>Н</t>
    </r>
    <r>
      <rPr>
        <b/>
        <u/>
        <sz val="12"/>
        <color indexed="61"/>
        <rFont val="Bookman Old Style"/>
        <family val="1"/>
        <charset val="204"/>
      </rPr>
      <t xml:space="preserve"> ДОЛЖНО БЫТЬ </t>
    </r>
    <r>
      <rPr>
        <b/>
        <i/>
        <u/>
        <sz val="12"/>
        <color indexed="61"/>
        <rFont val="Bookman Old Style"/>
        <family val="1"/>
        <charset val="204"/>
      </rPr>
      <t>0</t>
    </r>
  </si>
  <si>
    <t>у тому числі на виплату муніципальної доплати молодим спеціалістам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</si>
</sst>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6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2"/>
      <name val="Bookman Old Style"/>
      <family val="1"/>
      <charset val="204"/>
    </font>
    <font>
      <sz val="12"/>
      <color indexed="12"/>
      <name val="Bookman Old Style"/>
      <family val="1"/>
      <charset val="204"/>
    </font>
    <font>
      <b/>
      <sz val="12"/>
      <color indexed="12"/>
      <name val="Arial Cyr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12"/>
      <color indexed="30"/>
      <name val="Bookman Old Style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 Cyr"/>
      <charset val="204"/>
    </font>
    <font>
      <b/>
      <sz val="12"/>
      <color indexed="17"/>
      <name val="Arial Cyr"/>
      <charset val="204"/>
    </font>
    <font>
      <b/>
      <sz val="12"/>
      <color indexed="53"/>
      <name val="Bookman Old Style"/>
      <family val="1"/>
      <charset val="204"/>
    </font>
    <font>
      <b/>
      <sz val="12"/>
      <color indexed="14"/>
      <name val="Bookman Old Style"/>
      <family val="1"/>
      <charset val="204"/>
    </font>
    <font>
      <b/>
      <sz val="12"/>
      <color indexed="61"/>
      <name val="Bookman Old Style"/>
      <family val="1"/>
      <charset val="204"/>
    </font>
    <font>
      <sz val="11"/>
      <name val="Arial"/>
      <family val="2"/>
      <charset val="204"/>
    </font>
    <font>
      <b/>
      <u/>
      <sz val="12"/>
      <color indexed="61"/>
      <name val="Bookman Old Style"/>
      <family val="1"/>
      <charset val="204"/>
    </font>
    <font>
      <b/>
      <i/>
      <u/>
      <sz val="12"/>
      <color indexed="61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color indexed="12"/>
      <name val="Bookman Old Style"/>
      <family val="1"/>
      <charset val="204"/>
    </font>
    <font>
      <b/>
      <sz val="10"/>
      <color indexed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0"/>
      <color indexed="17"/>
      <name val="Bookman Old Style"/>
      <family val="1"/>
      <charset val="204"/>
    </font>
    <font>
      <b/>
      <sz val="10"/>
      <color indexed="61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5" fillId="0" borderId="0" xfId="0" applyNumberFormat="1" applyFont="1" applyFill="1" applyAlignment="1">
      <alignment vertical="top" wrapText="1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4" fontId="6" fillId="0" borderId="0" xfId="0" applyNumberFormat="1" applyFont="1" applyFill="1"/>
    <xf numFmtId="0" fontId="8" fillId="0" borderId="0" xfId="0" applyFont="1" applyFill="1"/>
    <xf numFmtId="0" fontId="7" fillId="0" borderId="0" xfId="0" applyFont="1" applyFill="1" applyAlignment="1">
      <alignment vertical="top"/>
    </xf>
    <xf numFmtId="0" fontId="7" fillId="0" borderId="0" xfId="0" applyFont="1" applyFill="1"/>
    <xf numFmtId="4" fontId="5" fillId="0" borderId="0" xfId="0" applyNumberFormat="1" applyFont="1" applyFill="1"/>
    <xf numFmtId="0" fontId="11" fillId="0" borderId="0" xfId="0" applyFont="1" applyFill="1"/>
    <xf numFmtId="0" fontId="10" fillId="0" borderId="0" xfId="0" applyFont="1" applyFill="1" applyAlignment="1">
      <alignment vertical="top"/>
    </xf>
    <xf numFmtId="0" fontId="10" fillId="0" borderId="0" xfId="0" applyFont="1" applyFill="1"/>
    <xf numFmtId="0" fontId="6" fillId="0" borderId="0" xfId="0" applyFont="1" applyFill="1" applyAlignment="1">
      <alignment vertical="top"/>
    </xf>
    <xf numFmtId="49" fontId="4" fillId="0" borderId="0" xfId="0" applyNumberFormat="1" applyFont="1" applyFill="1" applyAlignment="1">
      <alignment vertical="top"/>
    </xf>
    <xf numFmtId="49" fontId="4" fillId="0" borderId="0" xfId="0" applyNumberFormat="1" applyFont="1" applyFill="1" applyAlignment="1">
      <alignment horizontal="center" vertical="top"/>
    </xf>
    <xf numFmtId="49" fontId="5" fillId="0" borderId="0" xfId="0" applyNumberFormat="1" applyFont="1" applyFill="1" applyAlignment="1">
      <alignment vertical="top"/>
    </xf>
    <xf numFmtId="49" fontId="7" fillId="0" borderId="0" xfId="0" applyNumberFormat="1" applyFont="1" applyFill="1" applyAlignment="1">
      <alignment vertical="top"/>
    </xf>
    <xf numFmtId="49" fontId="10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vertical="top"/>
    </xf>
    <xf numFmtId="2" fontId="12" fillId="0" borderId="0" xfId="0" applyNumberFormat="1" applyFont="1" applyFill="1" applyAlignment="1">
      <alignment vertical="top" wrapText="1"/>
    </xf>
    <xf numFmtId="49" fontId="12" fillId="0" borderId="0" xfId="0" applyNumberFormat="1" applyFont="1" applyFill="1" applyAlignment="1">
      <alignment vertical="top" wrapText="1"/>
    </xf>
    <xf numFmtId="0" fontId="12" fillId="0" borderId="2" xfId="0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right" vertical="top" wrapText="1"/>
    </xf>
    <xf numFmtId="4" fontId="12" fillId="0" borderId="4" xfId="0" applyNumberFormat="1" applyFont="1" applyFill="1" applyBorder="1" applyAlignment="1">
      <alignment horizontal="right" vertical="top" wrapText="1"/>
    </xf>
    <xf numFmtId="4" fontId="12" fillId="0" borderId="5" xfId="0" applyNumberFormat="1" applyFont="1" applyFill="1" applyBorder="1" applyAlignment="1">
      <alignment vertical="top"/>
    </xf>
    <xf numFmtId="4" fontId="12" fillId="0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vertical="top"/>
    </xf>
    <xf numFmtId="0" fontId="13" fillId="0" borderId="0" xfId="0" applyFont="1" applyFill="1"/>
    <xf numFmtId="4" fontId="15" fillId="0" borderId="6" xfId="0" applyNumberFormat="1" applyFont="1" applyFill="1" applyBorder="1" applyAlignment="1">
      <alignment horizontal="right" vertical="top" wrapText="1"/>
    </xf>
    <xf numFmtId="0" fontId="13" fillId="0" borderId="7" xfId="0" applyFont="1" applyFill="1" applyBorder="1" applyAlignment="1">
      <alignment vertical="top" wrapText="1"/>
    </xf>
    <xf numFmtId="4" fontId="13" fillId="0" borderId="8" xfId="0" applyNumberFormat="1" applyFont="1" applyFill="1" applyBorder="1" applyAlignment="1">
      <alignment horizontal="right" vertical="top" wrapText="1"/>
    </xf>
    <xf numFmtId="2" fontId="13" fillId="0" borderId="6" xfId="0" applyNumberFormat="1" applyFont="1" applyFill="1" applyBorder="1" applyAlignment="1">
      <alignment horizontal="right" vertical="top" wrapText="1"/>
    </xf>
    <xf numFmtId="4" fontId="13" fillId="0" borderId="6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vertical="top"/>
    </xf>
    <xf numFmtId="2" fontId="13" fillId="0" borderId="9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2" fontId="13" fillId="0" borderId="11" xfId="0" applyNumberFormat="1" applyFont="1" applyFill="1" applyBorder="1" applyAlignment="1">
      <alignment horizontal="right" vertical="top" wrapText="1"/>
    </xf>
    <xf numFmtId="4" fontId="13" fillId="0" borderId="11" xfId="0" applyNumberFormat="1" applyFont="1" applyFill="1" applyBorder="1" applyAlignment="1">
      <alignment horizontal="right" vertical="top" wrapText="1"/>
    </xf>
    <xf numFmtId="0" fontId="13" fillId="0" borderId="12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vertical="top" wrapText="1"/>
    </xf>
    <xf numFmtId="0" fontId="12" fillId="0" borderId="0" xfId="0" applyFont="1" applyFill="1"/>
    <xf numFmtId="4" fontId="13" fillId="0" borderId="4" xfId="0" applyNumberFormat="1" applyFont="1" applyFill="1" applyBorder="1" applyAlignment="1">
      <alignment horizontal="right" vertical="top" wrapText="1"/>
    </xf>
    <xf numFmtId="4" fontId="13" fillId="0" borderId="14" xfId="0" applyNumberFormat="1" applyFont="1" applyFill="1" applyBorder="1" applyAlignment="1">
      <alignment horizontal="right" vertical="top" wrapText="1"/>
    </xf>
    <xf numFmtId="4" fontId="12" fillId="0" borderId="16" xfId="0" applyNumberFormat="1" applyFont="1" applyFill="1" applyBorder="1" applyAlignment="1">
      <alignment horizontal="right" vertical="top" wrapText="1"/>
    </xf>
    <xf numFmtId="0" fontId="13" fillId="0" borderId="15" xfId="0" applyFont="1" applyFill="1" applyBorder="1" applyAlignment="1">
      <alignment vertical="top" wrapText="1"/>
    </xf>
    <xf numFmtId="4" fontId="13" fillId="0" borderId="17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4" fontId="12" fillId="0" borderId="5" xfId="0" applyNumberFormat="1" applyFont="1" applyFill="1" applyBorder="1" applyAlignment="1">
      <alignment horizontal="center" vertical="top"/>
    </xf>
    <xf numFmtId="4" fontId="12" fillId="0" borderId="1" xfId="0" applyNumberFormat="1" applyFont="1" applyFill="1" applyBorder="1" applyAlignment="1">
      <alignment horizontal="center" vertical="top"/>
    </xf>
    <xf numFmtId="4" fontId="13" fillId="0" borderId="1" xfId="0" quotePrefix="1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/>
    </xf>
    <xf numFmtId="4" fontId="12" fillId="0" borderId="5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Alignment="1">
      <alignment vertical="top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4" fillId="0" borderId="15" xfId="0" applyFont="1" applyFill="1" applyBorder="1" applyAlignment="1">
      <alignment vertical="top" wrapText="1"/>
    </xf>
    <xf numFmtId="4" fontId="14" fillId="0" borderId="16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vertical="top" wrapText="1"/>
    </xf>
    <xf numFmtId="4" fontId="14" fillId="0" borderId="6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7" xfId="0" applyNumberFormat="1" applyFont="1" applyFill="1" applyBorder="1" applyAlignment="1">
      <alignment horizontal="right" vertical="top" wrapText="1"/>
    </xf>
    <xf numFmtId="0" fontId="14" fillId="0" borderId="0" xfId="0" applyFont="1" applyFill="1"/>
    <xf numFmtId="4" fontId="12" fillId="0" borderId="6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vertical="top"/>
    </xf>
    <xf numFmtId="4" fontId="13" fillId="0" borderId="5" xfId="0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6" fillId="0" borderId="0" xfId="0" applyNumberFormat="1" applyFont="1" applyFill="1" applyAlignment="1">
      <alignment vertical="top"/>
    </xf>
    <xf numFmtId="49" fontId="16" fillId="0" borderId="0" xfId="0" applyNumberFormat="1" applyFont="1" applyFill="1" applyAlignment="1">
      <alignment vertical="top"/>
    </xf>
    <xf numFmtId="0" fontId="17" fillId="0" borderId="0" xfId="0" applyFont="1" applyFill="1"/>
    <xf numFmtId="0" fontId="16" fillId="0" borderId="0" xfId="0" applyFont="1" applyFill="1" applyAlignment="1">
      <alignment vertical="top"/>
    </xf>
    <xf numFmtId="0" fontId="16" fillId="0" borderId="0" xfId="0" applyFont="1" applyFill="1"/>
    <xf numFmtId="49" fontId="18" fillId="0" borderId="0" xfId="0" applyNumberFormat="1" applyFont="1" applyFill="1" applyAlignment="1">
      <alignment vertical="top"/>
    </xf>
    <xf numFmtId="0" fontId="19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vertical="top"/>
    </xf>
    <xf numFmtId="4" fontId="13" fillId="0" borderId="7" xfId="0" applyNumberFormat="1" applyFont="1" applyFill="1" applyBorder="1" applyAlignment="1">
      <alignment horizontal="right" vertical="top" wrapText="1"/>
    </xf>
    <xf numFmtId="0" fontId="15" fillId="0" borderId="15" xfId="0" applyFont="1" applyFill="1" applyBorder="1" applyAlignment="1">
      <alignment vertical="top" wrapText="1"/>
    </xf>
    <xf numFmtId="2" fontId="15" fillId="0" borderId="16" xfId="0" applyNumberFormat="1" applyFont="1" applyFill="1" applyBorder="1" applyAlignment="1">
      <alignment horizontal="right" vertical="top" wrapText="1"/>
    </xf>
    <xf numFmtId="4" fontId="15" fillId="0" borderId="16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vertical="top"/>
    </xf>
    <xf numFmtId="4" fontId="15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vertical="top"/>
    </xf>
    <xf numFmtId="0" fontId="15" fillId="0" borderId="0" xfId="0" applyFont="1" applyFill="1"/>
    <xf numFmtId="0" fontId="15" fillId="0" borderId="7" xfId="0" applyFont="1" applyFill="1" applyBorder="1" applyAlignment="1">
      <alignment vertical="top" wrapText="1"/>
    </xf>
    <xf numFmtId="4" fontId="15" fillId="0" borderId="1" xfId="0" applyNumberFormat="1" applyFont="1" applyFill="1" applyBorder="1" applyAlignment="1">
      <alignment vertical="top"/>
    </xf>
    <xf numFmtId="0" fontId="13" fillId="0" borderId="0" xfId="0" applyFont="1" applyFill="1" applyBorder="1" applyAlignment="1">
      <alignment horizontal="center" vertical="top" wrapText="1"/>
    </xf>
    <xf numFmtId="4" fontId="14" fillId="0" borderId="18" xfId="0" applyNumberFormat="1" applyFont="1" applyFill="1" applyBorder="1" applyAlignment="1">
      <alignment horizontal="right" vertical="top" wrapText="1"/>
    </xf>
    <xf numFmtId="4" fontId="14" fillId="0" borderId="9" xfId="0" applyNumberFormat="1" applyFont="1" applyFill="1" applyBorder="1" applyAlignment="1">
      <alignment horizontal="right" vertical="top" wrapText="1"/>
    </xf>
    <xf numFmtId="4" fontId="15" fillId="0" borderId="9" xfId="0" applyNumberFormat="1" applyFont="1" applyFill="1" applyBorder="1" applyAlignment="1">
      <alignment horizontal="right" vertical="top" wrapText="1"/>
    </xf>
    <xf numFmtId="4" fontId="14" fillId="0" borderId="19" xfId="0" applyNumberFormat="1" applyFont="1" applyFill="1" applyBorder="1" applyAlignment="1">
      <alignment horizontal="right" vertical="top" wrapText="1"/>
    </xf>
    <xf numFmtId="4" fontId="14" fillId="0" borderId="20" xfId="0" applyNumberFormat="1" applyFont="1" applyFill="1" applyBorder="1" applyAlignment="1">
      <alignment horizontal="right" vertical="top" wrapText="1"/>
    </xf>
    <xf numFmtId="4" fontId="12" fillId="0" borderId="9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horizontal="center" vertical="top"/>
    </xf>
    <xf numFmtId="4" fontId="15" fillId="0" borderId="1" xfId="0" quotePrefix="1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/>
    </xf>
    <xf numFmtId="0" fontId="15" fillId="0" borderId="12" xfId="0" applyFont="1" applyFill="1" applyBorder="1" applyAlignment="1">
      <alignment vertical="top" wrapText="1"/>
    </xf>
    <xf numFmtId="4" fontId="15" fillId="0" borderId="11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13" fillId="0" borderId="7" xfId="0" quotePrefix="1" applyFont="1" applyFill="1" applyBorder="1" applyAlignment="1">
      <alignment horizontal="center" vertical="top" wrapText="1"/>
    </xf>
    <xf numFmtId="49" fontId="13" fillId="0" borderId="7" xfId="0" applyNumberFormat="1" applyFont="1" applyFill="1" applyBorder="1" applyAlignment="1">
      <alignment horizontal="center" vertical="top" wrapText="1"/>
    </xf>
    <xf numFmtId="49" fontId="14" fillId="0" borderId="7" xfId="0" quotePrefix="1" applyNumberFormat="1" applyFont="1" applyFill="1" applyBorder="1" applyAlignment="1">
      <alignment horizontal="center" vertical="top" wrapText="1"/>
    </xf>
    <xf numFmtId="49" fontId="14" fillId="0" borderId="7" xfId="0" applyNumberFormat="1" applyFont="1" applyFill="1" applyBorder="1" applyAlignment="1">
      <alignment horizontal="center" vertical="top" wrapText="1"/>
    </xf>
    <xf numFmtId="0" fontId="15" fillId="0" borderId="15" xfId="0" quotePrefix="1" applyFont="1" applyFill="1" applyBorder="1" applyAlignment="1">
      <alignment horizontal="center" vertical="top" wrapText="1"/>
    </xf>
    <xf numFmtId="49" fontId="14" fillId="0" borderId="15" xfId="0" applyNumberFormat="1" applyFont="1" applyFill="1" applyBorder="1" applyAlignment="1">
      <alignment horizontal="center" vertical="top" wrapText="1"/>
    </xf>
    <xf numFmtId="49" fontId="13" fillId="0" borderId="7" xfId="0" quotePrefix="1" applyNumberFormat="1" applyFont="1" applyFill="1" applyBorder="1" applyAlignment="1">
      <alignment horizontal="center" vertical="top" wrapText="1"/>
    </xf>
    <xf numFmtId="49" fontId="13" fillId="0" borderId="13" xfId="0" quotePrefix="1" applyNumberFormat="1" applyFont="1" applyFill="1" applyBorder="1" applyAlignment="1">
      <alignment horizontal="center" vertical="top" wrapText="1"/>
    </xf>
    <xf numFmtId="0" fontId="13" fillId="0" borderId="13" xfId="0" quotePrefix="1" applyFont="1" applyFill="1" applyBorder="1" applyAlignment="1">
      <alignment horizontal="center" vertical="top" wrapText="1"/>
    </xf>
    <xf numFmtId="49" fontId="14" fillId="0" borderId="15" xfId="0" quotePrefix="1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49" fontId="13" fillId="0" borderId="15" xfId="0" quotePrefix="1" applyNumberFormat="1" applyFont="1" applyFill="1" applyBorder="1" applyAlignment="1">
      <alignment horizontal="center" vertical="top" wrapText="1"/>
    </xf>
    <xf numFmtId="49" fontId="13" fillId="0" borderId="15" xfId="0" applyNumberFormat="1" applyFont="1" applyFill="1" applyBorder="1" applyAlignment="1">
      <alignment horizontal="center" vertical="top" wrapText="1"/>
    </xf>
    <xf numFmtId="0" fontId="13" fillId="0" borderId="12" xfId="0" quotePrefix="1" applyFont="1" applyFill="1" applyBorder="1" applyAlignment="1">
      <alignment horizontal="center" vertical="top" wrapText="1"/>
    </xf>
    <xf numFmtId="0" fontId="15" fillId="0" borderId="7" xfId="0" quotePrefix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49" fontId="14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vertical="top"/>
    </xf>
    <xf numFmtId="49" fontId="14" fillId="0" borderId="0" xfId="0" applyNumberFormat="1" applyFont="1" applyFill="1" applyAlignment="1">
      <alignment vertical="top"/>
    </xf>
    <xf numFmtId="49" fontId="13" fillId="0" borderId="0" xfId="0" applyNumberFormat="1" applyFont="1" applyFill="1" applyAlignment="1">
      <alignment vertical="top"/>
    </xf>
    <xf numFmtId="0" fontId="15" fillId="0" borderId="12" xfId="0" applyFont="1" applyFill="1" applyBorder="1" applyAlignment="1">
      <alignment horizontal="center" vertical="top" wrapText="1"/>
    </xf>
    <xf numFmtId="0" fontId="13" fillId="0" borderId="15" xfId="0" quotePrefix="1" applyFont="1" applyFill="1" applyBorder="1" applyAlignment="1">
      <alignment horizontal="center" vertical="top" wrapText="1"/>
    </xf>
    <xf numFmtId="4" fontId="15" fillId="0" borderId="5" xfId="0" applyNumberFormat="1" applyFont="1" applyFill="1" applyBorder="1" applyAlignment="1">
      <alignment vertical="top"/>
    </xf>
    <xf numFmtId="0" fontId="15" fillId="0" borderId="15" xfId="0" applyFont="1" applyFill="1" applyBorder="1" applyAlignment="1">
      <alignment horizontal="center" vertical="top" wrapText="1"/>
    </xf>
    <xf numFmtId="0" fontId="12" fillId="0" borderId="0" xfId="0" applyFont="1" applyFill="1" applyAlignment="1"/>
    <xf numFmtId="4" fontId="12" fillId="0" borderId="0" xfId="0" applyNumberFormat="1" applyFont="1" applyFill="1"/>
    <xf numFmtId="49" fontId="14" fillId="0" borderId="23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justify"/>
    </xf>
    <xf numFmtId="0" fontId="12" fillId="0" borderId="0" xfId="0" applyFont="1" applyFill="1" applyAlignment="1">
      <alignment vertical="justify"/>
    </xf>
    <xf numFmtId="0" fontId="23" fillId="0" borderId="0" xfId="0" applyFont="1"/>
    <xf numFmtId="0" fontId="13" fillId="0" borderId="21" xfId="0" applyFont="1" applyFill="1" applyBorder="1" applyAlignment="1">
      <alignment horizontal="center" vertical="top" wrapText="1"/>
    </xf>
    <xf numFmtId="0" fontId="13" fillId="0" borderId="21" xfId="0" applyFont="1" applyFill="1" applyBorder="1" applyAlignment="1">
      <alignment vertical="top" wrapText="1"/>
    </xf>
    <xf numFmtId="4" fontId="13" fillId="0" borderId="25" xfId="0" applyNumberFormat="1" applyFont="1" applyFill="1" applyBorder="1" applyAlignment="1">
      <alignment horizontal="right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4" fontId="13" fillId="0" borderId="16" xfId="0" applyNumberFormat="1" applyFont="1" applyFill="1" applyBorder="1" applyAlignment="1">
      <alignment horizontal="center" vertical="top" wrapText="1"/>
    </xf>
    <xf numFmtId="4" fontId="12" fillId="0" borderId="4" xfId="0" applyNumberFormat="1" applyFont="1" applyFill="1" applyBorder="1" applyAlignment="1">
      <alignment horizontal="right" vertical="justify" wrapText="1"/>
    </xf>
    <xf numFmtId="4" fontId="14" fillId="0" borderId="6" xfId="0" applyNumberFormat="1" applyFont="1" applyFill="1" applyBorder="1" applyAlignment="1">
      <alignment horizontal="right" vertical="justify" wrapText="1"/>
    </xf>
    <xf numFmtId="4" fontId="13" fillId="0" borderId="6" xfId="0" applyNumberFormat="1" applyFont="1" applyFill="1" applyBorder="1" applyAlignment="1">
      <alignment horizontal="right" vertical="justify" wrapText="1"/>
    </xf>
    <xf numFmtId="4" fontId="15" fillId="0" borderId="6" xfId="0" applyNumberFormat="1" applyFont="1" applyFill="1" applyBorder="1" applyAlignment="1">
      <alignment horizontal="right" vertical="justify" wrapText="1"/>
    </xf>
    <xf numFmtId="4" fontId="14" fillId="0" borderId="16" xfId="0" applyNumberFormat="1" applyFont="1" applyFill="1" applyBorder="1" applyAlignment="1">
      <alignment horizontal="right" vertical="justify" wrapText="1"/>
    </xf>
    <xf numFmtId="4" fontId="14" fillId="0" borderId="9" xfId="0" applyNumberFormat="1" applyFont="1" applyFill="1" applyBorder="1" applyAlignment="1">
      <alignment horizontal="right" vertical="justify" wrapText="1"/>
    </xf>
    <xf numFmtId="4" fontId="13" fillId="0" borderId="9" xfId="0" applyNumberFormat="1" applyFont="1" applyFill="1" applyBorder="1" applyAlignment="1">
      <alignment horizontal="right" vertical="justify" wrapText="1"/>
    </xf>
    <xf numFmtId="4" fontId="15" fillId="0" borderId="9" xfId="0" applyNumberFormat="1" applyFont="1" applyFill="1" applyBorder="1" applyAlignment="1">
      <alignment horizontal="right" vertical="justify" wrapText="1"/>
    </xf>
    <xf numFmtId="4" fontId="15" fillId="0" borderId="16" xfId="0" applyNumberFormat="1" applyFont="1" applyFill="1" applyBorder="1" applyAlignment="1">
      <alignment horizontal="right" vertical="justify" wrapText="1"/>
    </xf>
    <xf numFmtId="4" fontId="13" fillId="0" borderId="16" xfId="0" applyNumberFormat="1" applyFont="1" applyFill="1" applyBorder="1" applyAlignment="1">
      <alignment horizontal="right" vertical="justify" wrapText="1"/>
    </xf>
    <xf numFmtId="4" fontId="13" fillId="0" borderId="11" xfId="0" applyNumberFormat="1" applyFont="1" applyFill="1" applyBorder="1" applyAlignment="1">
      <alignment horizontal="right" vertical="justify" wrapText="1"/>
    </xf>
    <xf numFmtId="4" fontId="14" fillId="0" borderId="20" xfId="0" applyNumberFormat="1" applyFont="1" applyFill="1" applyBorder="1" applyAlignment="1">
      <alignment horizontal="right" vertical="justify" wrapText="1"/>
    </xf>
    <xf numFmtId="0" fontId="12" fillId="0" borderId="0" xfId="0" applyFont="1" applyFill="1" applyAlignment="1">
      <alignment horizontal="center" vertical="top"/>
    </xf>
    <xf numFmtId="0" fontId="14" fillId="0" borderId="16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/>
    </xf>
    <xf numFmtId="0" fontId="13" fillId="0" borderId="2" xfId="0" applyFont="1" applyFill="1" applyBorder="1" applyAlignment="1">
      <alignment vertical="top" wrapText="1"/>
    </xf>
    <xf numFmtId="0" fontId="14" fillId="0" borderId="23" xfId="0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4" fontId="12" fillId="0" borderId="20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4" fontId="12" fillId="0" borderId="4" xfId="0" applyNumberFormat="1" applyFont="1" applyFill="1" applyBorder="1" applyAlignment="1">
      <alignment horizontal="center" vertical="top" wrapText="1"/>
    </xf>
    <xf numFmtId="2" fontId="13" fillId="0" borderId="16" xfId="0" applyNumberFormat="1" applyFont="1" applyFill="1" applyBorder="1" applyAlignment="1">
      <alignment horizontal="right" vertical="top" wrapText="1"/>
    </xf>
    <xf numFmtId="164" fontId="15" fillId="0" borderId="9" xfId="1" applyFont="1" applyFill="1" applyBorder="1" applyAlignment="1">
      <alignment horizontal="right" vertical="top" wrapText="1"/>
    </xf>
    <xf numFmtId="4" fontId="13" fillId="0" borderId="12" xfId="0" applyNumberFormat="1" applyFont="1" applyFill="1" applyBorder="1" applyAlignment="1">
      <alignment horizontal="right" vertical="top" wrapText="1"/>
    </xf>
    <xf numFmtId="2" fontId="14" fillId="0" borderId="0" xfId="0" applyNumberFormat="1" applyFont="1" applyFill="1" applyAlignment="1">
      <alignment vertical="top" wrapText="1"/>
    </xf>
    <xf numFmtId="4" fontId="13" fillId="0" borderId="14" xfId="0" applyNumberFormat="1" applyFont="1" applyFill="1" applyBorder="1" applyAlignment="1">
      <alignment horizontal="right" vertical="justify" wrapText="1"/>
    </xf>
    <xf numFmtId="0" fontId="13" fillId="0" borderId="15" xfId="0" applyFont="1" applyFill="1" applyBorder="1" applyAlignment="1">
      <alignment horizontal="left" vertical="center" wrapText="1"/>
    </xf>
    <xf numFmtId="0" fontId="15" fillId="0" borderId="13" xfId="0" quotePrefix="1" applyFont="1" applyFill="1" applyBorder="1" applyAlignment="1">
      <alignment horizontal="center" vertical="top" wrapText="1"/>
    </xf>
    <xf numFmtId="4" fontId="15" fillId="0" borderId="8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vertical="top" wrapText="1"/>
    </xf>
    <xf numFmtId="0" fontId="15" fillId="0" borderId="23" xfId="0" quotePrefix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vertical="top" wrapText="1"/>
    </xf>
    <xf numFmtId="0" fontId="15" fillId="0" borderId="23" xfId="0" applyFont="1" applyFill="1" applyBorder="1" applyAlignment="1">
      <alignment vertical="top" wrapText="1"/>
    </xf>
    <xf numFmtId="4" fontId="15" fillId="0" borderId="18" xfId="0" applyNumberFormat="1" applyFont="1" applyFill="1" applyBorder="1" applyAlignment="1">
      <alignment horizontal="right" vertical="top" wrapText="1"/>
    </xf>
    <xf numFmtId="0" fontId="13" fillId="0" borderId="7" xfId="0" quotePrefix="1" applyFont="1" applyFill="1" applyBorder="1" applyAlignment="1">
      <alignment vertical="top" wrapText="1"/>
    </xf>
    <xf numFmtId="0" fontId="22" fillId="0" borderId="0" xfId="0" applyFont="1" applyFill="1"/>
    <xf numFmtId="49" fontId="26" fillId="0" borderId="0" xfId="0" applyNumberFormat="1" applyFont="1" applyFill="1" applyAlignment="1">
      <alignment vertical="top" wrapText="1"/>
    </xf>
    <xf numFmtId="49" fontId="26" fillId="0" borderId="0" xfId="0" applyNumberFormat="1" applyFont="1" applyFill="1" applyAlignment="1">
      <alignment horizontal="center" vertical="top" wrapText="1"/>
    </xf>
    <xf numFmtId="49" fontId="27" fillId="0" borderId="0" xfId="0" applyNumberFormat="1" applyFont="1" applyFill="1" applyAlignment="1">
      <alignment horizontal="center" vertical="center" wrapText="1"/>
    </xf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49" fontId="29" fillId="0" borderId="3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justify"/>
    </xf>
    <xf numFmtId="0" fontId="28" fillId="0" borderId="0" xfId="0" applyFont="1" applyFill="1" applyAlignment="1">
      <alignment horizontal="center" vertical="top"/>
    </xf>
    <xf numFmtId="0" fontId="30" fillId="0" borderId="0" xfId="0" applyFont="1" applyFill="1" applyAlignment="1">
      <alignment horizontal="center"/>
    </xf>
    <xf numFmtId="0" fontId="27" fillId="0" borderId="0" xfId="0" applyFont="1" applyFill="1"/>
    <xf numFmtId="0" fontId="31" fillId="0" borderId="0" xfId="0" applyFont="1" applyFill="1" applyAlignment="1">
      <alignment vertical="top"/>
    </xf>
    <xf numFmtId="0" fontId="27" fillId="0" borderId="0" xfId="0" applyFont="1" applyFill="1" applyAlignment="1">
      <alignment vertical="justify"/>
    </xf>
    <xf numFmtId="0" fontId="27" fillId="0" borderId="0" xfId="0" applyFont="1" applyFill="1" applyAlignment="1">
      <alignment horizontal="center" vertical="top"/>
    </xf>
    <xf numFmtId="0" fontId="32" fillId="0" borderId="0" xfId="0" applyFont="1" applyFill="1" applyAlignment="1">
      <alignment horizontal="right"/>
    </xf>
    <xf numFmtId="0" fontId="34" fillId="0" borderId="21" xfId="0" applyFont="1" applyFill="1" applyBorder="1" applyAlignment="1">
      <alignment horizontal="center" vertical="top" wrapText="1"/>
    </xf>
    <xf numFmtId="0" fontId="35" fillId="0" borderId="23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top" wrapText="1"/>
    </xf>
    <xf numFmtId="49" fontId="29" fillId="0" borderId="2" xfId="0" applyNumberFormat="1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justify" wrapText="1"/>
    </xf>
    <xf numFmtId="0" fontId="28" fillId="0" borderId="4" xfId="0" applyFont="1" applyFill="1" applyBorder="1" applyAlignment="1">
      <alignment horizontal="center" vertical="top" wrapText="1"/>
    </xf>
    <xf numFmtId="4" fontId="28" fillId="0" borderId="4" xfId="0" applyNumberFormat="1" applyFont="1" applyFill="1" applyBorder="1" applyAlignment="1">
      <alignment horizontal="right" vertical="justify" wrapText="1"/>
    </xf>
    <xf numFmtId="4" fontId="28" fillId="0" borderId="4" xfId="0" applyNumberFormat="1" applyFont="1" applyFill="1" applyBorder="1" applyAlignment="1">
      <alignment horizontal="right" vertical="top" wrapText="1"/>
    </xf>
    <xf numFmtId="4" fontId="28" fillId="0" borderId="3" xfId="0" applyNumberFormat="1" applyFont="1" applyFill="1" applyBorder="1" applyAlignment="1">
      <alignment horizontal="right" vertical="top" wrapText="1"/>
    </xf>
    <xf numFmtId="49" fontId="36" fillId="0" borderId="7" xfId="0" quotePrefix="1" applyNumberFormat="1" applyFont="1" applyFill="1" applyBorder="1" applyAlignment="1">
      <alignment horizontal="center" vertical="top" wrapText="1"/>
    </xf>
    <xf numFmtId="49" fontId="36" fillId="0" borderId="7" xfId="0" applyNumberFormat="1" applyFont="1" applyFill="1" applyBorder="1" applyAlignment="1">
      <alignment horizontal="center" vertical="top" wrapText="1"/>
    </xf>
    <xf numFmtId="0" fontId="36" fillId="0" borderId="7" xfId="0" applyFont="1" applyFill="1" applyBorder="1" applyAlignment="1">
      <alignment vertical="top" wrapText="1"/>
    </xf>
    <xf numFmtId="0" fontId="36" fillId="0" borderId="7" xfId="0" applyFont="1" applyFill="1" applyBorder="1" applyAlignment="1">
      <alignment horizontal="center" vertical="justify" wrapText="1"/>
    </xf>
    <xf numFmtId="0" fontId="36" fillId="0" borderId="6" xfId="0" applyFont="1" applyFill="1" applyBorder="1" applyAlignment="1">
      <alignment horizontal="center" vertical="top" wrapText="1"/>
    </xf>
    <xf numFmtId="4" fontId="36" fillId="0" borderId="6" xfId="0" applyNumberFormat="1" applyFont="1" applyFill="1" applyBorder="1" applyAlignment="1">
      <alignment horizontal="right" vertical="justify" wrapText="1"/>
    </xf>
    <xf numFmtId="4" fontId="36" fillId="0" borderId="6" xfId="0" applyNumberFormat="1" applyFont="1" applyFill="1" applyBorder="1" applyAlignment="1">
      <alignment horizontal="right" vertical="top" wrapText="1"/>
    </xf>
    <xf numFmtId="4" fontId="36" fillId="0" borderId="8" xfId="0" applyNumberFormat="1" applyFont="1" applyFill="1" applyBorder="1" applyAlignment="1">
      <alignment horizontal="right" vertical="top" wrapText="1"/>
    </xf>
    <xf numFmtId="0" fontId="29" fillId="0" borderId="7" xfId="0" quotePrefix="1" applyFont="1" applyFill="1" applyBorder="1" applyAlignment="1">
      <alignment horizontal="center" vertical="top" wrapText="1"/>
    </xf>
    <xf numFmtId="49" fontId="29" fillId="0" borderId="7" xfId="0" applyNumberFormat="1" applyFont="1" applyFill="1" applyBorder="1" applyAlignment="1">
      <alignment horizontal="center" vertical="top" wrapText="1"/>
    </xf>
    <xf numFmtId="0" fontId="29" fillId="0" borderId="7" xfId="0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justify" wrapText="1"/>
    </xf>
    <xf numFmtId="0" fontId="29" fillId="0" borderId="6" xfId="0" applyFont="1" applyFill="1" applyBorder="1" applyAlignment="1">
      <alignment horizontal="center" vertical="top" wrapText="1"/>
    </xf>
    <xf numFmtId="4" fontId="29" fillId="0" borderId="6" xfId="0" applyNumberFormat="1" applyFont="1" applyFill="1" applyBorder="1" applyAlignment="1">
      <alignment horizontal="right" vertical="justify" wrapText="1"/>
    </xf>
    <xf numFmtId="4" fontId="29" fillId="0" borderId="6" xfId="0" applyNumberFormat="1" applyFont="1" applyFill="1" applyBorder="1" applyAlignment="1">
      <alignment horizontal="right" vertical="top" wrapText="1"/>
    </xf>
    <xf numFmtId="2" fontId="29" fillId="0" borderId="6" xfId="0" applyNumberFormat="1" applyFont="1" applyFill="1" applyBorder="1" applyAlignment="1">
      <alignment horizontal="right" vertical="top" wrapText="1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29" fillId="0" borderId="0" xfId="0" applyFont="1" applyFill="1"/>
    <xf numFmtId="4" fontId="28" fillId="0" borderId="0" xfId="0" applyNumberFormat="1" applyFont="1" applyFill="1"/>
    <xf numFmtId="0" fontId="28" fillId="0" borderId="0" xfId="0" applyFont="1" applyFill="1"/>
    <xf numFmtId="49" fontId="36" fillId="0" borderId="15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vertical="top" wrapText="1"/>
    </xf>
    <xf numFmtId="0" fontId="36" fillId="0" borderId="15" xfId="0" applyFont="1" applyFill="1" applyBorder="1" applyAlignment="1">
      <alignment horizontal="center" vertical="justify" wrapText="1"/>
    </xf>
    <xf numFmtId="0" fontId="36" fillId="0" borderId="16" xfId="0" applyFont="1" applyFill="1" applyBorder="1" applyAlignment="1">
      <alignment horizontal="center" vertical="top" wrapText="1"/>
    </xf>
    <xf numFmtId="4" fontId="36" fillId="0" borderId="16" xfId="0" applyNumberFormat="1" applyFont="1" applyFill="1" applyBorder="1" applyAlignment="1">
      <alignment horizontal="right" vertical="justify" wrapText="1"/>
    </xf>
    <xf numFmtId="4" fontId="36" fillId="0" borderId="16" xfId="0" applyNumberFormat="1" applyFont="1" applyFill="1" applyBorder="1" applyAlignment="1">
      <alignment horizontal="right" vertical="top" wrapText="1"/>
    </xf>
    <xf numFmtId="4" fontId="36" fillId="0" borderId="17" xfId="0" applyNumberFormat="1" applyFont="1" applyFill="1" applyBorder="1" applyAlignment="1">
      <alignment horizontal="right" vertical="top" wrapText="1"/>
    </xf>
    <xf numFmtId="4" fontId="29" fillId="0" borderId="8" xfId="0" applyNumberFormat="1" applyFont="1" applyFill="1" applyBorder="1" applyAlignment="1">
      <alignment horizontal="right" vertical="top" wrapText="1"/>
    </xf>
    <xf numFmtId="4" fontId="29" fillId="0" borderId="7" xfId="0" applyNumberFormat="1" applyFont="1" applyFill="1" applyBorder="1" applyAlignment="1">
      <alignment horizontal="center" vertical="justify" wrapText="1"/>
    </xf>
    <xf numFmtId="4" fontId="29" fillId="0" borderId="6" xfId="0" applyNumberFormat="1" applyFont="1" applyFill="1" applyBorder="1" applyAlignment="1">
      <alignment horizontal="center" vertical="top" wrapText="1"/>
    </xf>
    <xf numFmtId="0" fontId="29" fillId="0" borderId="13" xfId="0" quotePrefix="1" applyFont="1" applyFill="1" applyBorder="1" applyAlignment="1">
      <alignment horizontal="center" vertical="top" wrapText="1"/>
    </xf>
    <xf numFmtId="49" fontId="29" fillId="0" borderId="13" xfId="0" applyNumberFormat="1" applyFont="1" applyFill="1" applyBorder="1" applyAlignment="1">
      <alignment horizontal="center" vertical="top" wrapText="1"/>
    </xf>
    <xf numFmtId="49" fontId="29" fillId="0" borderId="7" xfId="0" quotePrefix="1" applyNumberFormat="1" applyFont="1" applyFill="1" applyBorder="1" applyAlignment="1">
      <alignment horizontal="center" vertical="top" wrapText="1"/>
    </xf>
    <xf numFmtId="2" fontId="36" fillId="0" borderId="0" xfId="0" applyNumberFormat="1" applyFont="1" applyFill="1" applyAlignment="1">
      <alignment vertical="top" wrapText="1"/>
    </xf>
    <xf numFmtId="49" fontId="36" fillId="0" borderId="0" xfId="0" applyNumberFormat="1" applyFont="1" applyFill="1" applyAlignment="1">
      <alignment vertical="top" wrapText="1"/>
    </xf>
    <xf numFmtId="0" fontId="29" fillId="0" borderId="7" xfId="0" quotePrefix="1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top" wrapText="1"/>
    </xf>
    <xf numFmtId="0" fontId="37" fillId="0" borderId="7" xfId="0" quotePrefix="1" applyFont="1" applyFill="1" applyBorder="1" applyAlignment="1">
      <alignment horizontal="center" vertical="top" wrapText="1"/>
    </xf>
    <xf numFmtId="49" fontId="37" fillId="0" borderId="7" xfId="0" applyNumberFormat="1" applyFont="1" applyFill="1" applyBorder="1" applyAlignment="1">
      <alignment horizontal="center" vertical="top" wrapText="1"/>
    </xf>
    <xf numFmtId="0" fontId="37" fillId="0" borderId="15" xfId="0" applyFont="1" applyFill="1" applyBorder="1" applyAlignment="1">
      <alignment vertical="top" wrapText="1"/>
    </xf>
    <xf numFmtId="0" fontId="37" fillId="0" borderId="7" xfId="0" applyFont="1" applyFill="1" applyBorder="1" applyAlignment="1">
      <alignment horizontal="center" vertical="top" wrapText="1"/>
    </xf>
    <xf numFmtId="0" fontId="37" fillId="0" borderId="6" xfId="0" applyFont="1" applyFill="1" applyBorder="1" applyAlignment="1">
      <alignment horizontal="center" vertical="top" wrapText="1"/>
    </xf>
    <xf numFmtId="4" fontId="37" fillId="0" borderId="6" xfId="0" applyNumberFormat="1" applyFont="1" applyFill="1" applyBorder="1" applyAlignment="1">
      <alignment horizontal="right" vertical="justify" wrapText="1"/>
    </xf>
    <xf numFmtId="4" fontId="37" fillId="0" borderId="6" xfId="0" applyNumberFormat="1" applyFont="1" applyFill="1" applyBorder="1" applyAlignment="1">
      <alignment horizontal="right" vertical="top" wrapText="1"/>
    </xf>
    <xf numFmtId="2" fontId="37" fillId="0" borderId="6" xfId="0" applyNumberFormat="1" applyFont="1" applyFill="1" applyBorder="1" applyAlignment="1">
      <alignment horizontal="right" vertical="top" wrapText="1"/>
    </xf>
    <xf numFmtId="49" fontId="36" fillId="0" borderId="15" xfId="0" quotePrefix="1" applyNumberFormat="1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justify" wrapText="1"/>
    </xf>
    <xf numFmtId="0" fontId="36" fillId="0" borderId="9" xfId="0" applyFont="1" applyFill="1" applyBorder="1" applyAlignment="1">
      <alignment horizontal="center" vertical="top" wrapText="1"/>
    </xf>
    <xf numFmtId="4" fontId="36" fillId="0" borderId="9" xfId="0" applyNumberFormat="1" applyFont="1" applyFill="1" applyBorder="1" applyAlignment="1">
      <alignment horizontal="right" vertical="justify" wrapText="1"/>
    </xf>
    <xf numFmtId="0" fontId="29" fillId="0" borderId="13" xfId="0" applyFont="1" applyFill="1" applyBorder="1" applyAlignment="1">
      <alignment horizontal="center" vertical="justify" wrapText="1"/>
    </xf>
    <xf numFmtId="0" fontId="29" fillId="0" borderId="9" xfId="0" applyFont="1" applyFill="1" applyBorder="1" applyAlignment="1">
      <alignment horizontal="center" vertical="top" wrapText="1"/>
    </xf>
    <xf numFmtId="4" fontId="29" fillId="0" borderId="9" xfId="0" applyNumberFormat="1" applyFont="1" applyFill="1" applyBorder="1" applyAlignment="1">
      <alignment horizontal="right" vertical="justify" wrapText="1"/>
    </xf>
    <xf numFmtId="4" fontId="29" fillId="0" borderId="9" xfId="0" applyNumberFormat="1" applyFont="1" applyFill="1" applyBorder="1" applyAlignment="1">
      <alignment horizontal="right" vertical="top" wrapText="1"/>
    </xf>
    <xf numFmtId="2" fontId="29" fillId="0" borderId="9" xfId="0" applyNumberFormat="1" applyFont="1" applyFill="1" applyBorder="1" applyAlignment="1">
      <alignment horizontal="right" vertical="top" wrapText="1"/>
    </xf>
    <xf numFmtId="0" fontId="29" fillId="0" borderId="13" xfId="0" applyFont="1" applyFill="1" applyBorder="1" applyAlignment="1">
      <alignment horizontal="center" vertical="top" wrapText="1"/>
    </xf>
    <xf numFmtId="0" fontId="37" fillId="0" borderId="0" xfId="0" applyFont="1" applyFill="1"/>
    <xf numFmtId="49" fontId="28" fillId="0" borderId="2" xfId="0" applyNumberFormat="1" applyFont="1" applyFill="1" applyBorder="1" applyAlignment="1">
      <alignment horizontal="center" vertical="top" wrapText="1"/>
    </xf>
    <xf numFmtId="0" fontId="28" fillId="3" borderId="2" xfId="0" applyFont="1" applyFill="1" applyBorder="1" applyAlignment="1">
      <alignment horizontal="center" vertical="justify" wrapText="1"/>
    </xf>
    <xf numFmtId="0" fontId="29" fillId="0" borderId="13" xfId="0" quotePrefix="1" applyFont="1" applyFill="1" applyBorder="1" applyAlignment="1">
      <alignment vertical="top" wrapText="1"/>
    </xf>
    <xf numFmtId="0" fontId="36" fillId="0" borderId="0" xfId="0" applyFont="1" applyFill="1"/>
    <xf numFmtId="0" fontId="28" fillId="3" borderId="4" xfId="0" applyFont="1" applyFill="1" applyBorder="1" applyAlignment="1">
      <alignment horizontal="center" vertical="top" wrapText="1"/>
    </xf>
    <xf numFmtId="0" fontId="37" fillId="0" borderId="7" xfId="0" applyFont="1" applyFill="1" applyBorder="1" applyAlignment="1">
      <alignment vertical="top" wrapText="1"/>
    </xf>
    <xf numFmtId="0" fontId="37" fillId="0" borderId="13" xfId="0" applyFont="1" applyFill="1" applyBorder="1" applyAlignment="1">
      <alignment horizontal="center" vertical="justify" wrapText="1"/>
    </xf>
    <xf numFmtId="0" fontId="37" fillId="0" borderId="9" xfId="0" applyFont="1" applyFill="1" applyBorder="1" applyAlignment="1">
      <alignment horizontal="center" vertical="top" wrapText="1"/>
    </xf>
    <xf numFmtId="4" fontId="37" fillId="0" borderId="9" xfId="0" applyNumberFormat="1" applyFont="1" applyFill="1" applyBorder="1" applyAlignment="1">
      <alignment horizontal="right" vertical="justify" wrapText="1"/>
    </xf>
    <xf numFmtId="4" fontId="37" fillId="0" borderId="9" xfId="0" applyNumberFormat="1" applyFont="1" applyFill="1" applyBorder="1" applyAlignment="1">
      <alignment horizontal="right" vertical="top" wrapText="1"/>
    </xf>
    <xf numFmtId="0" fontId="37" fillId="0" borderId="13" xfId="0" applyFont="1" applyFill="1" applyBorder="1" applyAlignment="1">
      <alignment horizontal="center" vertical="top" wrapText="1"/>
    </xf>
    <xf numFmtId="0" fontId="36" fillId="0" borderId="13" xfId="0" quotePrefix="1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top" wrapText="1"/>
    </xf>
    <xf numFmtId="49" fontId="36" fillId="0" borderId="13" xfId="0" applyNumberFormat="1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vertical="top" wrapText="1"/>
    </xf>
    <xf numFmtId="0" fontId="28" fillId="0" borderId="13" xfId="0" applyFont="1" applyFill="1" applyBorder="1" applyAlignment="1">
      <alignment horizontal="center" vertical="top" wrapText="1"/>
    </xf>
    <xf numFmtId="0" fontId="28" fillId="0" borderId="9" xfId="0" applyFont="1" applyFill="1" applyBorder="1" applyAlignment="1">
      <alignment horizontal="center" vertical="top" wrapText="1"/>
    </xf>
    <xf numFmtId="4" fontId="36" fillId="0" borderId="9" xfId="0" applyNumberFormat="1" applyFont="1" applyFill="1" applyBorder="1" applyAlignment="1">
      <alignment horizontal="right" vertical="top" wrapText="1"/>
    </xf>
    <xf numFmtId="0" fontId="29" fillId="0" borderId="12" xfId="0" quotePrefix="1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 wrapText="1"/>
    </xf>
    <xf numFmtId="49" fontId="29" fillId="0" borderId="12" xfId="0" applyNumberFormat="1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vertical="top" wrapText="1"/>
    </xf>
    <xf numFmtId="0" fontId="29" fillId="0" borderId="11" xfId="0" applyFont="1" applyFill="1" applyBorder="1" applyAlignment="1">
      <alignment horizontal="center" vertical="top" wrapText="1"/>
    </xf>
    <xf numFmtId="4" fontId="29" fillId="0" borderId="11" xfId="0" applyNumberFormat="1" applyFont="1" applyFill="1" applyBorder="1" applyAlignment="1">
      <alignment horizontal="right" vertical="top" wrapText="1"/>
    </xf>
    <xf numFmtId="0" fontId="36" fillId="0" borderId="23" xfId="0" applyFont="1" applyFill="1" applyBorder="1" applyAlignment="1">
      <alignment horizontal="center" vertical="justify" wrapText="1"/>
    </xf>
    <xf numFmtId="0" fontId="36" fillId="0" borderId="20" xfId="0" applyFont="1" applyFill="1" applyBorder="1" applyAlignment="1">
      <alignment horizontal="center" vertical="top" wrapText="1"/>
    </xf>
    <xf numFmtId="4" fontId="36" fillId="0" borderId="20" xfId="0" applyNumberFormat="1" applyFont="1" applyFill="1" applyBorder="1" applyAlignment="1">
      <alignment horizontal="right" vertical="justify" wrapText="1"/>
    </xf>
    <xf numFmtId="4" fontId="36" fillId="0" borderId="20" xfId="0" applyNumberFormat="1" applyFont="1" applyFill="1" applyBorder="1" applyAlignment="1">
      <alignment horizontal="right" vertical="top" wrapText="1"/>
    </xf>
    <xf numFmtId="49" fontId="29" fillId="0" borderId="12" xfId="0" quotePrefix="1" applyNumberFormat="1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justify" wrapText="1"/>
    </xf>
    <xf numFmtId="0" fontId="29" fillId="0" borderId="15" xfId="0" applyFont="1" applyFill="1" applyBorder="1" applyAlignment="1">
      <alignment horizontal="center" vertical="justify" wrapText="1"/>
    </xf>
    <xf numFmtId="0" fontId="29" fillId="0" borderId="16" xfId="0" applyFont="1" applyFill="1" applyBorder="1" applyAlignment="1">
      <alignment horizontal="center" vertical="top" wrapText="1"/>
    </xf>
    <xf numFmtId="4" fontId="29" fillId="0" borderId="16" xfId="0" applyNumberFormat="1" applyFont="1" applyFill="1" applyBorder="1" applyAlignment="1">
      <alignment horizontal="right" vertical="justify" wrapText="1"/>
    </xf>
    <xf numFmtId="4" fontId="29" fillId="0" borderId="16" xfId="0" applyNumberFormat="1" applyFont="1" applyFill="1" applyBorder="1" applyAlignment="1">
      <alignment horizontal="right" vertical="top" wrapText="1"/>
    </xf>
    <xf numFmtId="4" fontId="36" fillId="0" borderId="19" xfId="0" applyNumberFormat="1" applyFont="1" applyFill="1" applyBorder="1" applyAlignment="1">
      <alignment horizontal="right" vertical="top" wrapText="1"/>
    </xf>
    <xf numFmtId="4" fontId="29" fillId="0" borderId="11" xfId="0" applyNumberFormat="1" applyFont="1" applyFill="1" applyBorder="1" applyAlignment="1">
      <alignment horizontal="right" vertical="justify" wrapText="1"/>
    </xf>
    <xf numFmtId="0" fontId="36" fillId="0" borderId="7" xfId="0" applyFont="1" applyFill="1" applyBorder="1" applyAlignment="1">
      <alignment horizontal="center" vertical="top" wrapText="1"/>
    </xf>
    <xf numFmtId="4" fontId="36" fillId="0" borderId="7" xfId="0" applyNumberFormat="1" applyFont="1" applyFill="1" applyBorder="1" applyAlignment="1">
      <alignment horizontal="right" vertical="top" wrapText="1"/>
    </xf>
    <xf numFmtId="49" fontId="36" fillId="0" borderId="23" xfId="0" applyNumberFormat="1" applyFont="1" applyFill="1" applyBorder="1" applyAlignment="1">
      <alignment horizontal="center" vertical="top" wrapText="1"/>
    </xf>
    <xf numFmtId="0" fontId="36" fillId="0" borderId="23" xfId="0" applyFont="1" applyFill="1" applyBorder="1" applyAlignment="1">
      <alignment vertical="top" wrapText="1"/>
    </xf>
    <xf numFmtId="0" fontId="29" fillId="0" borderId="15" xfId="0" applyFont="1" applyFill="1" applyBorder="1" applyAlignment="1">
      <alignment horizontal="center" vertical="top" wrapText="1"/>
    </xf>
    <xf numFmtId="0" fontId="29" fillId="0" borderId="7" xfId="0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right" vertical="top" wrapText="1"/>
    </xf>
    <xf numFmtId="4" fontId="29" fillId="0" borderId="14" xfId="0" applyNumberFormat="1" applyFont="1" applyFill="1" applyBorder="1" applyAlignment="1">
      <alignment horizontal="right" vertical="top" wrapText="1"/>
    </xf>
    <xf numFmtId="49" fontId="29" fillId="0" borderId="15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29" fillId="0" borderId="10" xfId="0" applyNumberFormat="1" applyFont="1" applyFill="1" applyBorder="1" applyAlignment="1">
      <alignment horizontal="right" vertical="top" wrapText="1"/>
    </xf>
    <xf numFmtId="0" fontId="37" fillId="0" borderId="7" xfId="0" applyFont="1" applyFill="1" applyBorder="1" applyAlignment="1">
      <alignment horizontal="center" vertical="justify" wrapText="1"/>
    </xf>
    <xf numFmtId="0" fontId="29" fillId="0" borderId="15" xfId="0" applyFont="1" applyFill="1" applyBorder="1" applyAlignment="1">
      <alignment horizontal="left" vertical="center" wrapText="1"/>
    </xf>
    <xf numFmtId="0" fontId="37" fillId="0" borderId="15" xfId="0" applyFont="1" applyFill="1" applyBorder="1" applyAlignment="1">
      <alignment horizontal="center" vertical="top" wrapText="1"/>
    </xf>
    <xf numFmtId="49" fontId="37" fillId="0" borderId="15" xfId="0" applyNumberFormat="1" applyFont="1" applyFill="1" applyBorder="1" applyAlignment="1">
      <alignment horizontal="center" vertical="top" wrapText="1"/>
    </xf>
    <xf numFmtId="0" fontId="37" fillId="0" borderId="23" xfId="0" applyFont="1" applyFill="1" applyBorder="1"/>
    <xf numFmtId="0" fontId="37" fillId="0" borderId="16" xfId="0" applyFont="1" applyFill="1" applyBorder="1" applyAlignment="1">
      <alignment horizontal="center" vertical="top" wrapText="1"/>
    </xf>
    <xf numFmtId="4" fontId="37" fillId="0" borderId="16" xfId="0" applyNumberFormat="1" applyFont="1" applyFill="1" applyBorder="1" applyAlignment="1">
      <alignment horizontal="right" vertical="justify" wrapText="1"/>
    </xf>
    <xf numFmtId="4" fontId="37" fillId="0" borderId="16" xfId="0" applyNumberFormat="1" applyFont="1" applyFill="1" applyBorder="1" applyAlignment="1">
      <alignment horizontal="right" vertical="top" wrapText="1"/>
    </xf>
    <xf numFmtId="49" fontId="34" fillId="0" borderId="0" xfId="0" applyNumberFormat="1" applyFont="1" applyFill="1" applyAlignment="1">
      <alignment vertical="top" wrapText="1"/>
    </xf>
    <xf numFmtId="0" fontId="29" fillId="0" borderId="24" xfId="0" applyFont="1" applyFill="1" applyBorder="1" applyAlignment="1">
      <alignment horizontal="center" vertical="justify" wrapText="1"/>
    </xf>
    <xf numFmtId="0" fontId="29" fillId="0" borderId="22" xfId="0" applyFont="1" applyFill="1" applyBorder="1" applyAlignment="1">
      <alignment horizontal="center" vertical="top" wrapText="1"/>
    </xf>
    <xf numFmtId="4" fontId="28" fillId="0" borderId="22" xfId="0" applyNumberFormat="1" applyFont="1" applyFill="1" applyBorder="1" applyAlignment="1">
      <alignment horizontal="right" wrapText="1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vertical="top"/>
    </xf>
    <xf numFmtId="0" fontId="32" fillId="0" borderId="0" xfId="0" applyFont="1" applyFill="1" applyAlignment="1">
      <alignment vertical="justify"/>
    </xf>
    <xf numFmtId="0" fontId="32" fillId="0" borderId="0" xfId="0" applyFont="1" applyFill="1" applyAlignment="1">
      <alignment horizontal="center" vertical="top"/>
    </xf>
    <xf numFmtId="0" fontId="32" fillId="0" borderId="0" xfId="0" applyFont="1" applyFill="1"/>
    <xf numFmtId="4" fontId="32" fillId="0" borderId="0" xfId="0" applyNumberFormat="1" applyFont="1" applyFill="1"/>
    <xf numFmtId="0" fontId="29" fillId="0" borderId="0" xfId="0" applyFont="1" applyFill="1" applyAlignment="1">
      <alignment wrapText="1"/>
    </xf>
    <xf numFmtId="49" fontId="38" fillId="0" borderId="0" xfId="0" applyNumberFormat="1" applyFont="1" applyFill="1" applyAlignment="1">
      <alignment vertical="top" wrapText="1"/>
    </xf>
    <xf numFmtId="49" fontId="39" fillId="0" borderId="0" xfId="0" applyNumberFormat="1" applyFont="1" applyFill="1" applyAlignment="1">
      <alignment vertical="top" wrapText="1"/>
    </xf>
    <xf numFmtId="49" fontId="32" fillId="0" borderId="0" xfId="0" applyNumberFormat="1" applyFont="1" applyFill="1" applyAlignment="1">
      <alignment vertical="top" wrapText="1"/>
    </xf>
    <xf numFmtId="49" fontId="40" fillId="0" borderId="0" xfId="0" applyNumberFormat="1" applyFont="1" applyFill="1" applyAlignment="1">
      <alignment vertical="top" wrapText="1"/>
    </xf>
    <xf numFmtId="0" fontId="34" fillId="0" borderId="0" xfId="0" applyFont="1" applyFill="1" applyAlignment="1">
      <alignment vertical="top" wrapText="1"/>
    </xf>
    <xf numFmtId="0" fontId="32" fillId="0" borderId="0" xfId="0" applyFont="1" applyFill="1" applyAlignment="1">
      <alignment horizontal="right" vertical="justify"/>
    </xf>
    <xf numFmtId="4" fontId="34" fillId="0" borderId="0" xfId="0" applyNumberFormat="1" applyFont="1" applyFill="1"/>
    <xf numFmtId="0" fontId="38" fillId="0" borderId="0" xfId="0" applyFont="1" applyFill="1"/>
    <xf numFmtId="0" fontId="38" fillId="0" borderId="0" xfId="0" applyFont="1" applyFill="1" applyAlignment="1">
      <alignment vertical="top"/>
    </xf>
    <xf numFmtId="0" fontId="38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center" vertical="top"/>
    </xf>
    <xf numFmtId="4" fontId="38" fillId="0" borderId="0" xfId="0" applyNumberFormat="1" applyFont="1" applyFill="1" applyAlignment="1">
      <alignment horizontal="right" vertical="justify"/>
    </xf>
    <xf numFmtId="4" fontId="38" fillId="0" borderId="0" xfId="0" applyNumberFormat="1" applyFont="1" applyFill="1"/>
    <xf numFmtId="0" fontId="39" fillId="0" borderId="0" xfId="0" applyFont="1" applyFill="1"/>
    <xf numFmtId="0" fontId="41" fillId="0" borderId="0" xfId="0" applyFont="1" applyFill="1" applyAlignment="1">
      <alignment vertical="top" wrapText="1"/>
    </xf>
    <xf numFmtId="0" fontId="39" fillId="0" borderId="0" xfId="0" applyFont="1" applyFill="1" applyAlignment="1">
      <alignment horizontal="right" vertical="justify"/>
    </xf>
    <xf numFmtId="0" fontId="39" fillId="0" borderId="0" xfId="0" applyFont="1" applyFill="1" applyAlignment="1">
      <alignment horizontal="center" vertical="top"/>
    </xf>
    <xf numFmtId="4" fontId="41" fillId="0" borderId="0" xfId="0" applyNumberFormat="1" applyFont="1" applyFill="1"/>
    <xf numFmtId="0" fontId="40" fillId="0" borderId="0" xfId="0" applyFont="1" applyFill="1"/>
    <xf numFmtId="0" fontId="40" fillId="0" borderId="0" xfId="0" applyFont="1" applyFill="1" applyAlignment="1">
      <alignment vertical="top"/>
    </xf>
    <xf numFmtId="0" fontId="42" fillId="0" borderId="1" xfId="0" applyFont="1" applyFill="1" applyBorder="1" applyAlignment="1">
      <alignment horizontal="right" vertical="justify"/>
    </xf>
    <xf numFmtId="0" fontId="40" fillId="0" borderId="27" xfId="0" applyFont="1" applyFill="1" applyBorder="1" applyAlignment="1">
      <alignment horizontal="center" vertical="top"/>
    </xf>
    <xf numFmtId="4" fontId="42" fillId="0" borderId="1" xfId="0" applyNumberFormat="1" applyFont="1" applyFill="1" applyBorder="1"/>
    <xf numFmtId="0" fontId="32" fillId="0" borderId="1" xfId="0" applyFont="1" applyFill="1" applyBorder="1" applyAlignment="1">
      <alignment horizontal="right" vertical="justify"/>
    </xf>
    <xf numFmtId="0" fontId="32" fillId="0" borderId="26" xfId="0" applyFont="1" applyFill="1" applyBorder="1" applyAlignment="1">
      <alignment horizontal="center" vertical="top"/>
    </xf>
    <xf numFmtId="4" fontId="34" fillId="0" borderId="1" xfId="0" applyNumberFormat="1" applyFont="1" applyFill="1" applyBorder="1" applyAlignment="1">
      <alignment horizontal="right" vertical="justify"/>
    </xf>
    <xf numFmtId="4" fontId="34" fillId="0" borderId="1" xfId="0" applyNumberFormat="1" applyFont="1" applyFill="1" applyBorder="1"/>
    <xf numFmtId="0" fontId="32" fillId="0" borderId="29" xfId="0" applyFont="1" applyFill="1" applyBorder="1" applyAlignment="1">
      <alignment horizontal="center" vertical="top"/>
    </xf>
    <xf numFmtId="4" fontId="35" fillId="0" borderId="1" xfId="0" applyNumberFormat="1" applyFont="1" applyFill="1" applyBorder="1" applyAlignment="1">
      <alignment horizontal="right" vertical="center"/>
    </xf>
    <xf numFmtId="0" fontId="32" fillId="0" borderId="28" xfId="0" applyFont="1" applyFill="1" applyBorder="1" applyAlignment="1">
      <alignment horizontal="center" vertical="top"/>
    </xf>
    <xf numFmtId="0" fontId="32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horizontal="right" vertical="justify"/>
    </xf>
    <xf numFmtId="4" fontId="34" fillId="0" borderId="31" xfId="0" applyNumberFormat="1" applyFont="1" applyFill="1" applyBorder="1" applyAlignment="1">
      <alignment horizontal="right" vertical="justify"/>
    </xf>
    <xf numFmtId="0" fontId="32" fillId="0" borderId="0" xfId="0" applyFont="1" applyFill="1" applyBorder="1" applyAlignment="1">
      <alignment horizontal="center" vertical="top"/>
    </xf>
    <xf numFmtId="4" fontId="35" fillId="0" borderId="1" xfId="0" applyNumberFormat="1" applyFont="1" applyFill="1" applyBorder="1"/>
    <xf numFmtId="4" fontId="35" fillId="0" borderId="5" xfId="0" applyNumberFormat="1" applyFont="1" applyFill="1" applyBorder="1"/>
    <xf numFmtId="0" fontId="27" fillId="0" borderId="0" xfId="0" applyFont="1" applyFill="1" applyAlignment="1">
      <alignment vertical="top"/>
    </xf>
    <xf numFmtId="0" fontId="27" fillId="0" borderId="0" xfId="0" applyFont="1" applyFill="1" applyBorder="1" applyAlignment="1">
      <alignment horizontal="right" vertical="justify"/>
    </xf>
    <xf numFmtId="0" fontId="27" fillId="0" borderId="0" xfId="0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right" vertical="justify"/>
    </xf>
    <xf numFmtId="0" fontId="27" fillId="0" borderId="28" xfId="0" applyFont="1" applyFill="1" applyBorder="1" applyAlignment="1">
      <alignment horizontal="center" vertical="top"/>
    </xf>
    <xf numFmtId="4" fontId="34" fillId="0" borderId="32" xfId="0" applyNumberFormat="1" applyFont="1" applyFill="1" applyBorder="1" applyAlignment="1">
      <alignment horizontal="right" vertical="justify"/>
    </xf>
    <xf numFmtId="4" fontId="35" fillId="0" borderId="33" xfId="0" applyNumberFormat="1" applyFont="1" applyFill="1" applyBorder="1"/>
    <xf numFmtId="0" fontId="27" fillId="0" borderId="0" xfId="0" applyFont="1" applyFill="1" applyAlignment="1">
      <alignment horizontal="right" vertical="justify"/>
    </xf>
    <xf numFmtId="0" fontId="35" fillId="0" borderId="0" xfId="0" applyFont="1" applyFill="1" applyAlignment="1">
      <alignment horizontal="right"/>
    </xf>
    <xf numFmtId="0" fontId="35" fillId="0" borderId="0" xfId="0" applyFont="1" applyFill="1" applyBorder="1" applyAlignment="1">
      <alignment horizontal="center" vertical="top"/>
    </xf>
    <xf numFmtId="0" fontId="35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right" vertical="justify"/>
    </xf>
    <xf numFmtId="0" fontId="35" fillId="0" borderId="0" xfId="0" applyFont="1" applyFill="1" applyAlignment="1">
      <alignment vertical="justify"/>
    </xf>
    <xf numFmtId="4" fontId="35" fillId="0" borderId="31" xfId="0" applyNumberFormat="1" applyFont="1" applyFill="1" applyBorder="1"/>
    <xf numFmtId="0" fontId="26" fillId="0" borderId="0" xfId="0" applyFont="1" applyFill="1" applyAlignment="1">
      <alignment vertical="justify"/>
    </xf>
    <xf numFmtId="0" fontId="29" fillId="0" borderId="0" xfId="0" applyFont="1" applyFill="1" applyAlignment="1">
      <alignment horizontal="left"/>
    </xf>
    <xf numFmtId="2" fontId="29" fillId="0" borderId="0" xfId="0" applyNumberFormat="1" applyFont="1" applyFill="1" applyAlignment="1">
      <alignment wrapText="1"/>
    </xf>
    <xf numFmtId="49" fontId="32" fillId="0" borderId="0" xfId="0" applyNumberFormat="1" applyFont="1" applyFill="1" applyAlignment="1">
      <alignment wrapText="1"/>
    </xf>
    <xf numFmtId="0" fontId="29" fillId="0" borderId="0" xfId="0" applyFont="1" applyAlignment="1"/>
    <xf numFmtId="0" fontId="32" fillId="0" borderId="0" xfId="0" applyFont="1" applyFill="1" applyAlignment="1"/>
    <xf numFmtId="0" fontId="29" fillId="0" borderId="0" xfId="0" applyFont="1" applyAlignment="1">
      <alignment horizontal="center"/>
    </xf>
    <xf numFmtId="0" fontId="29" fillId="0" borderId="0" xfId="0" applyFont="1" applyFill="1" applyAlignment="1"/>
    <xf numFmtId="4" fontId="29" fillId="0" borderId="0" xfId="0" applyNumberFormat="1" applyFont="1" applyFill="1" applyAlignment="1"/>
    <xf numFmtId="0" fontId="28" fillId="0" borderId="0" xfId="0" applyFont="1" applyFill="1" applyAlignment="1">
      <alignment horizontal="center" vertical="justify"/>
    </xf>
    <xf numFmtId="2" fontId="37" fillId="0" borderId="16" xfId="0" applyNumberFormat="1" applyFont="1" applyFill="1" applyBorder="1" applyAlignment="1">
      <alignment horizontal="right" vertical="top" wrapText="1"/>
    </xf>
    <xf numFmtId="0" fontId="37" fillId="0" borderId="15" xfId="0" quotePrefix="1" applyFont="1" applyFill="1" applyBorder="1" applyAlignment="1">
      <alignment horizontal="center" vertical="top" wrapText="1"/>
    </xf>
    <xf numFmtId="0" fontId="37" fillId="0" borderId="23" xfId="0" quotePrefix="1" applyFont="1" applyFill="1" applyBorder="1" applyAlignment="1">
      <alignment horizontal="center" vertical="top" wrapText="1"/>
    </xf>
    <xf numFmtId="0" fontId="37" fillId="0" borderId="13" xfId="0" quotePrefix="1" applyFont="1" applyFill="1" applyBorder="1" applyAlignment="1">
      <alignment horizontal="center" vertical="top" wrapText="1"/>
    </xf>
    <xf numFmtId="0" fontId="37" fillId="0" borderId="12" xfId="0" quotePrefix="1" applyFont="1" applyFill="1" applyBorder="1" applyAlignment="1">
      <alignment horizontal="center" vertical="top" wrapText="1"/>
    </xf>
    <xf numFmtId="49" fontId="29" fillId="0" borderId="15" xfId="0" quotePrefix="1" applyNumberFormat="1" applyFont="1" applyFill="1" applyBorder="1" applyAlignment="1">
      <alignment horizontal="center" vertical="top" wrapText="1"/>
    </xf>
    <xf numFmtId="0" fontId="29" fillId="0" borderId="15" xfId="0" quotePrefix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49" fontId="29" fillId="0" borderId="13" xfId="0" quotePrefix="1" applyNumberFormat="1" applyFont="1" applyFill="1" applyBorder="1" applyAlignment="1">
      <alignment horizontal="center" vertical="top" wrapText="1"/>
    </xf>
    <xf numFmtId="0" fontId="45" fillId="0" borderId="0" xfId="0" applyFont="1" applyFill="1"/>
    <xf numFmtId="0" fontId="37" fillId="0" borderId="15" xfId="0" applyFont="1" applyFill="1" applyBorder="1" applyAlignment="1">
      <alignment horizontal="center" vertical="justify" wrapText="1"/>
    </xf>
    <xf numFmtId="0" fontId="36" fillId="0" borderId="23" xfId="0" applyFont="1" applyFill="1" applyBorder="1" applyAlignment="1">
      <alignment horizontal="center" vertical="top" wrapText="1"/>
    </xf>
    <xf numFmtId="0" fontId="37" fillId="0" borderId="12" xfId="0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horizontal="center" vertical="top" wrapText="1"/>
    </xf>
    <xf numFmtId="0" fontId="29" fillId="0" borderId="23" xfId="0" applyFont="1" applyFill="1" applyBorder="1" applyAlignment="1">
      <alignment horizontal="center" vertical="justify" wrapText="1"/>
    </xf>
    <xf numFmtId="0" fontId="29" fillId="0" borderId="21" xfId="0" applyFont="1" applyFill="1" applyBorder="1" applyAlignment="1">
      <alignment horizontal="center" vertical="justify" wrapText="1"/>
    </xf>
    <xf numFmtId="4" fontId="29" fillId="0" borderId="15" xfId="0" applyNumberFormat="1" applyFont="1" applyFill="1" applyBorder="1" applyAlignment="1">
      <alignment horizontal="center" vertical="top" wrapText="1"/>
    </xf>
    <xf numFmtId="0" fontId="28" fillId="0" borderId="0" xfId="0" applyFont="1"/>
    <xf numFmtId="0" fontId="47" fillId="0" borderId="0" xfId="0" applyFont="1"/>
    <xf numFmtId="0" fontId="28" fillId="0" borderId="0" xfId="0" applyFont="1" applyFill="1" applyAlignment="1">
      <alignment vertical="justify"/>
    </xf>
    <xf numFmtId="0" fontId="45" fillId="0" borderId="0" xfId="0" applyFont="1" applyFill="1" applyAlignment="1">
      <alignment horizontal="right"/>
    </xf>
    <xf numFmtId="0" fontId="28" fillId="0" borderId="0" xfId="0" applyFont="1" applyFill="1" applyAlignment="1">
      <alignment horizontal="center"/>
    </xf>
    <xf numFmtId="49" fontId="29" fillId="0" borderId="23" xfId="0" applyNumberFormat="1" applyFont="1" applyFill="1" applyBorder="1" applyAlignment="1">
      <alignment horizontal="center" vertical="top" wrapText="1"/>
    </xf>
    <xf numFmtId="0" fontId="29" fillId="0" borderId="23" xfId="0" applyFont="1" applyFill="1" applyBorder="1" applyAlignment="1">
      <alignment vertical="top" wrapText="1"/>
    </xf>
    <xf numFmtId="4" fontId="29" fillId="0" borderId="20" xfId="0" applyNumberFormat="1" applyFont="1" applyFill="1" applyBorder="1" applyAlignment="1">
      <alignment horizontal="right" vertical="top" wrapText="1"/>
    </xf>
    <xf numFmtId="4" fontId="28" fillId="0" borderId="5" xfId="0" applyNumberFormat="1" applyFont="1" applyFill="1" applyBorder="1" applyAlignment="1">
      <alignment vertical="top"/>
    </xf>
    <xf numFmtId="4" fontId="28" fillId="0" borderId="1" xfId="0" applyNumberFormat="1" applyFont="1" applyFill="1" applyBorder="1" applyAlignment="1">
      <alignment vertical="top"/>
    </xf>
    <xf numFmtId="49" fontId="37" fillId="0" borderId="13" xfId="0" applyNumberFormat="1" applyFont="1" applyFill="1" applyBorder="1" applyAlignment="1">
      <alignment horizontal="center" vertical="top" wrapText="1"/>
    </xf>
    <xf numFmtId="49" fontId="37" fillId="0" borderId="23" xfId="0" applyNumberFormat="1" applyFont="1" applyFill="1" applyBorder="1" applyAlignment="1">
      <alignment horizontal="center" vertical="top" wrapText="1"/>
    </xf>
    <xf numFmtId="49" fontId="37" fillId="0" borderId="12" xfId="0" applyNumberFormat="1" applyFont="1" applyFill="1" applyBorder="1" applyAlignment="1">
      <alignment horizontal="center" vertical="top" wrapText="1"/>
    </xf>
    <xf numFmtId="49" fontId="29" fillId="0" borderId="7" xfId="0" applyNumberFormat="1" applyFont="1" applyFill="1" applyBorder="1" applyAlignment="1">
      <alignment horizontal="center" vertical="top"/>
    </xf>
    <xf numFmtId="49" fontId="29" fillId="0" borderId="15" xfId="0" applyNumberFormat="1" applyFont="1" applyBorder="1" applyAlignment="1">
      <alignment horizontal="center" vertical="top"/>
    </xf>
    <xf numFmtId="49" fontId="29" fillId="0" borderId="21" xfId="0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vertical="top" wrapText="1"/>
    </xf>
    <xf numFmtId="0" fontId="7" fillId="0" borderId="0" xfId="0" applyFont="1" applyFill="1" applyAlignment="1">
      <alignment horizontal="right" vertical="justify"/>
    </xf>
    <xf numFmtId="0" fontId="7" fillId="0" borderId="0" xfId="0" applyFont="1" applyFill="1" applyAlignment="1">
      <alignment horizontal="center" vertical="top"/>
    </xf>
    <xf numFmtId="0" fontId="48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right" vertical="justify"/>
    </xf>
    <xf numFmtId="0" fontId="49" fillId="0" borderId="0" xfId="0" applyFont="1" applyFill="1" applyAlignment="1">
      <alignment vertical="top" wrapText="1"/>
    </xf>
    <xf numFmtId="0" fontId="50" fillId="0" borderId="0" xfId="0" applyFont="1" applyFill="1" applyAlignment="1">
      <alignment horizontal="right" vertical="justify"/>
    </xf>
    <xf numFmtId="0" fontId="50" fillId="0" borderId="0" xfId="0" applyFont="1" applyFill="1" applyAlignment="1">
      <alignment horizontal="center" vertical="top"/>
    </xf>
    <xf numFmtId="0" fontId="51" fillId="0" borderId="0" xfId="0" applyFont="1" applyFill="1" applyAlignment="1">
      <alignment vertical="top"/>
    </xf>
    <xf numFmtId="0" fontId="52" fillId="0" borderId="1" xfId="0" applyFont="1" applyFill="1" applyBorder="1" applyAlignment="1">
      <alignment horizontal="right" vertical="justify"/>
    </xf>
    <xf numFmtId="0" fontId="51" fillId="0" borderId="27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right" vertical="justify"/>
    </xf>
    <xf numFmtId="0" fontId="6" fillId="0" borderId="26" xfId="0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right" vertical="justify"/>
    </xf>
    <xf numFmtId="4" fontId="5" fillId="0" borderId="1" xfId="0" applyNumberFormat="1" applyFont="1" applyFill="1" applyBorder="1"/>
    <xf numFmtId="0" fontId="6" fillId="0" borderId="29" xfId="0" applyFont="1" applyFill="1" applyBorder="1" applyAlignment="1">
      <alignment horizontal="center" vertical="top"/>
    </xf>
    <xf numFmtId="4" fontId="53" fillId="0" borderId="1" xfId="0" applyNumberFormat="1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justify"/>
    </xf>
    <xf numFmtId="4" fontId="5" fillId="0" borderId="31" xfId="0" applyNumberFormat="1" applyFont="1" applyFill="1" applyBorder="1" applyAlignment="1">
      <alignment horizontal="right" vertical="justify"/>
    </xf>
    <xf numFmtId="0" fontId="6" fillId="0" borderId="0" xfId="0" applyFont="1" applyFill="1" applyBorder="1" applyAlignment="1">
      <alignment horizontal="center" vertical="top"/>
    </xf>
    <xf numFmtId="4" fontId="56" fillId="0" borderId="1" xfId="0" applyNumberFormat="1" applyFont="1" applyFill="1" applyBorder="1"/>
    <xf numFmtId="4" fontId="56" fillId="0" borderId="5" xfId="0" applyNumberFormat="1" applyFont="1" applyFill="1" applyBorder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justify"/>
    </xf>
    <xf numFmtId="0" fontId="3" fillId="0" borderId="0" xfId="0" applyFont="1" applyFill="1" applyBorder="1" applyAlignment="1">
      <alignment horizontal="right" vertical="justify"/>
    </xf>
    <xf numFmtId="0" fontId="3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0" fontId="3" fillId="0" borderId="28" xfId="0" applyFont="1" applyFill="1" applyBorder="1" applyAlignment="1">
      <alignment horizontal="center" vertical="top"/>
    </xf>
    <xf numFmtId="4" fontId="5" fillId="0" borderId="32" xfId="0" applyNumberFormat="1" applyFont="1" applyFill="1" applyBorder="1" applyAlignment="1">
      <alignment horizontal="right" vertical="justify"/>
    </xf>
    <xf numFmtId="4" fontId="56" fillId="0" borderId="33" xfId="0" applyNumberFormat="1" applyFont="1" applyFill="1" applyBorder="1"/>
    <xf numFmtId="0" fontId="3" fillId="0" borderId="0" xfId="0" applyFont="1" applyFill="1" applyAlignment="1">
      <alignment horizontal="right" vertical="justify"/>
    </xf>
    <xf numFmtId="0" fontId="56" fillId="0" borderId="0" xfId="0" applyFont="1" applyFill="1" applyAlignment="1">
      <alignment horizontal="right"/>
    </xf>
    <xf numFmtId="0" fontId="56" fillId="0" borderId="0" xfId="0" applyFont="1" applyFill="1" applyBorder="1" applyAlignment="1">
      <alignment horizontal="center" vertical="top"/>
    </xf>
    <xf numFmtId="0" fontId="56" fillId="0" borderId="0" xfId="0" applyFont="1" applyFill="1" applyAlignment="1">
      <alignment horizontal="right" vertical="justify"/>
    </xf>
    <xf numFmtId="0" fontId="57" fillId="0" borderId="0" xfId="0" applyFont="1" applyFill="1" applyAlignment="1">
      <alignment horizontal="right" vertical="justify"/>
    </xf>
    <xf numFmtId="0" fontId="56" fillId="0" borderId="0" xfId="0" applyFont="1" applyFill="1" applyAlignment="1">
      <alignment vertical="justify"/>
    </xf>
    <xf numFmtId="4" fontId="56" fillId="0" borderId="31" xfId="0" applyNumberFormat="1" applyFont="1" applyFill="1" applyBorder="1"/>
    <xf numFmtId="4" fontId="58" fillId="0" borderId="0" xfId="0" applyNumberFormat="1" applyFont="1" applyFill="1" applyAlignment="1">
      <alignment horizontal="right" vertical="justify"/>
    </xf>
    <xf numFmtId="4" fontId="58" fillId="0" borderId="0" xfId="0" applyNumberFormat="1" applyFont="1" applyFill="1"/>
    <xf numFmtId="0" fontId="59" fillId="0" borderId="0" xfId="0" applyFont="1" applyFill="1" applyAlignment="1">
      <alignment horizontal="right" vertical="justify"/>
    </xf>
    <xf numFmtId="4" fontId="60" fillId="0" borderId="0" xfId="0" applyNumberFormat="1" applyFont="1" applyFill="1"/>
    <xf numFmtId="4" fontId="59" fillId="0" borderId="0" xfId="0" applyNumberFormat="1" applyFont="1" applyFill="1"/>
    <xf numFmtId="4" fontId="61" fillId="0" borderId="0" xfId="0" applyNumberFormat="1" applyFont="1" applyFill="1"/>
    <xf numFmtId="0" fontId="59" fillId="0" borderId="0" xfId="0" applyFont="1" applyFill="1"/>
    <xf numFmtId="4" fontId="62" fillId="0" borderId="1" xfId="0" applyNumberFormat="1" applyFont="1" applyFill="1" applyBorder="1"/>
    <xf numFmtId="4" fontId="29" fillId="0" borderId="16" xfId="0" applyNumberFormat="1" applyFont="1" applyFill="1" applyBorder="1" applyAlignment="1">
      <alignment vertical="top" wrapText="1"/>
    </xf>
    <xf numFmtId="0" fontId="32" fillId="0" borderId="0" xfId="0" applyFont="1" applyFill="1" applyBorder="1" applyAlignment="1">
      <alignment vertical="top" wrapText="1"/>
    </xf>
    <xf numFmtId="4" fontId="42" fillId="2" borderId="31" xfId="0" applyNumberFormat="1" applyFont="1" applyFill="1" applyBorder="1" applyAlignment="1">
      <alignment horizontal="center" vertical="justify"/>
    </xf>
    <xf numFmtId="0" fontId="42" fillId="2" borderId="37" xfId="0" applyFont="1" applyFill="1" applyBorder="1" applyAlignment="1">
      <alignment horizontal="center" vertical="justify"/>
    </xf>
    <xf numFmtId="0" fontId="42" fillId="2" borderId="33" xfId="0" applyFont="1" applyFill="1" applyBorder="1" applyAlignment="1">
      <alignment horizontal="center" vertical="justify"/>
    </xf>
    <xf numFmtId="0" fontId="42" fillId="0" borderId="38" xfId="0" applyFont="1" applyFill="1" applyBorder="1" applyAlignment="1">
      <alignment horizontal="center" vertical="top" wrapText="1"/>
    </xf>
    <xf numFmtId="0" fontId="42" fillId="0" borderId="39" xfId="0" applyFont="1" applyFill="1" applyBorder="1" applyAlignment="1">
      <alignment horizontal="center" vertical="top"/>
    </xf>
    <xf numFmtId="0" fontId="42" fillId="0" borderId="40" xfId="0" applyFont="1" applyFill="1" applyBorder="1" applyAlignment="1">
      <alignment horizontal="center" vertical="top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justify"/>
    </xf>
    <xf numFmtId="0" fontId="28" fillId="0" borderId="0" xfId="0" applyFont="1" applyFill="1" applyAlignment="1">
      <alignment horizontal="center" vertical="top"/>
    </xf>
    <xf numFmtId="0" fontId="33" fillId="0" borderId="41" xfId="0" applyFont="1" applyFill="1" applyBorder="1" applyAlignment="1">
      <alignment horizontal="center" vertical="top" wrapText="1"/>
    </xf>
    <xf numFmtId="0" fontId="33" fillId="0" borderId="21" xfId="0" applyFont="1" applyFill="1" applyBorder="1" applyAlignment="1">
      <alignment horizontal="center" vertical="top" wrapText="1"/>
    </xf>
    <xf numFmtId="0" fontId="34" fillId="0" borderId="41" xfId="0" applyFont="1" applyFill="1" applyBorder="1" applyAlignment="1">
      <alignment horizontal="center" vertical="top" wrapText="1"/>
    </xf>
    <xf numFmtId="0" fontId="34" fillId="0" borderId="21" xfId="0" applyFont="1" applyFill="1" applyBorder="1" applyAlignment="1">
      <alignment horizontal="center" vertical="top" wrapText="1"/>
    </xf>
    <xf numFmtId="0" fontId="34" fillId="0" borderId="36" xfId="0" applyFont="1" applyFill="1" applyBorder="1" applyAlignment="1">
      <alignment horizontal="center" vertical="top" wrapText="1"/>
    </xf>
    <xf numFmtId="0" fontId="34" fillId="0" borderId="1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28" fillId="0" borderId="34" xfId="0" applyFont="1" applyFill="1" applyBorder="1" applyAlignment="1">
      <alignment horizontal="center" wrapText="1"/>
    </xf>
    <xf numFmtId="0" fontId="28" fillId="0" borderId="35" xfId="0" applyFont="1" applyFill="1" applyBorder="1" applyAlignment="1">
      <alignment horizontal="center" wrapText="1"/>
    </xf>
    <xf numFmtId="0" fontId="28" fillId="0" borderId="22" xfId="0" applyFont="1" applyFill="1" applyBorder="1" applyAlignment="1">
      <alignment horizontal="center" vertical="justify" wrapText="1"/>
    </xf>
    <xf numFmtId="0" fontId="34" fillId="0" borderId="34" xfId="0" applyFont="1" applyFill="1" applyBorder="1" applyAlignment="1">
      <alignment horizontal="center" vertical="top" wrapText="1"/>
    </xf>
    <xf numFmtId="0" fontId="34" fillId="0" borderId="22" xfId="0" applyFont="1" applyFill="1" applyBorder="1" applyAlignment="1">
      <alignment horizontal="center" vertical="top" wrapText="1"/>
    </xf>
    <xf numFmtId="0" fontId="52" fillId="0" borderId="38" xfId="0" applyFont="1" applyFill="1" applyBorder="1" applyAlignment="1">
      <alignment horizontal="center" vertical="top" wrapText="1"/>
    </xf>
    <xf numFmtId="0" fontId="52" fillId="0" borderId="39" xfId="0" applyFont="1" applyFill="1" applyBorder="1" applyAlignment="1">
      <alignment horizontal="center" vertical="top"/>
    </xf>
    <xf numFmtId="0" fontId="52" fillId="0" borderId="40" xfId="0" applyFont="1" applyFill="1" applyBorder="1" applyAlignment="1">
      <alignment horizontal="center" vertical="top"/>
    </xf>
    <xf numFmtId="4" fontId="52" fillId="2" borderId="31" xfId="0" applyNumberFormat="1" applyFont="1" applyFill="1" applyBorder="1" applyAlignment="1">
      <alignment horizontal="center" vertical="justify"/>
    </xf>
    <xf numFmtId="0" fontId="52" fillId="2" borderId="37" xfId="0" applyFont="1" applyFill="1" applyBorder="1" applyAlignment="1">
      <alignment horizontal="center" vertical="justify"/>
    </xf>
    <xf numFmtId="0" fontId="52" fillId="2" borderId="33" xfId="0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M533"/>
  <sheetViews>
    <sheetView showZeros="0" tabSelected="1" view="pageBreakPreview" topLeftCell="A280" zoomScale="60" zoomScaleNormal="60" workbookViewId="0">
      <selection activeCell="K359" sqref="K359"/>
    </sheetView>
  </sheetViews>
  <sheetFormatPr defaultRowHeight="12.75" x14ac:dyDescent="0.25"/>
  <cols>
    <col min="1" max="1" width="5.7109375" style="208" customWidth="1"/>
    <col min="2" max="2" width="11.28515625" style="208" customWidth="1"/>
    <col min="3" max="3" width="15.42578125" style="22" hidden="1" customWidth="1"/>
    <col min="4" max="4" width="20.7109375" style="218" customWidth="1"/>
    <col min="5" max="5" width="17.28515625" style="218" customWidth="1"/>
    <col min="6" max="6" width="16.85546875" style="218" customWidth="1"/>
    <col min="7" max="7" width="68.5703125" style="398" customWidth="1"/>
    <col min="8" max="8" width="48" style="220" customWidth="1"/>
    <col min="9" max="9" width="23.42578125" style="221" customWidth="1"/>
    <col min="10" max="10" width="21.85546875" style="220" customWidth="1"/>
    <col min="11" max="11" width="20.140625" style="218" customWidth="1"/>
    <col min="12" max="12" width="20.42578125" style="218" customWidth="1"/>
    <col min="13" max="13" width="19.85546875" style="218" customWidth="1"/>
    <col min="14" max="14" width="17.85546875" style="4" hidden="1" customWidth="1"/>
    <col min="15" max="15" width="15.140625" style="1" hidden="1" customWidth="1"/>
    <col min="16" max="16" width="15.28515625" style="1" hidden="1" customWidth="1"/>
    <col min="17" max="17" width="14" style="1" hidden="1" customWidth="1"/>
    <col min="18" max="18" width="14.140625" style="1" hidden="1" customWidth="1"/>
    <col min="19" max="19" width="10.5703125" style="1" hidden="1" customWidth="1"/>
    <col min="20" max="20" width="14" style="1" hidden="1" customWidth="1"/>
    <col min="21" max="21" width="11.140625" style="1" hidden="1" customWidth="1"/>
    <col min="22" max="22" width="12.5703125" style="1" hidden="1" customWidth="1"/>
    <col min="23" max="23" width="10.5703125" style="1" hidden="1" customWidth="1"/>
    <col min="24" max="24" width="12" style="1" hidden="1" customWidth="1"/>
    <col min="25" max="25" width="13.85546875" style="3" hidden="1" customWidth="1"/>
    <col min="26" max="26" width="13.140625" style="1" hidden="1" customWidth="1"/>
    <col min="27" max="27" width="14.5703125" style="1" hidden="1" customWidth="1"/>
    <col min="28" max="28" width="12.28515625" style="1" hidden="1" customWidth="1"/>
    <col min="29" max="29" width="12.85546875" style="1" hidden="1" customWidth="1"/>
    <col min="30" max="30" width="13" style="1" hidden="1" customWidth="1"/>
    <col min="31" max="35" width="0" style="1" hidden="1" customWidth="1"/>
    <col min="36" max="36" width="12.7109375" style="1" hidden="1" customWidth="1"/>
    <col min="37" max="37" width="18.42578125" style="3" hidden="1" customWidth="1"/>
    <col min="38" max="58" width="0" style="1" hidden="1" customWidth="1"/>
    <col min="59" max="16384" width="9.140625" style="218"/>
  </cols>
  <sheetData>
    <row r="1" spans="1:59" ht="18.75" x14ac:dyDescent="0.3">
      <c r="D1" s="511" t="s">
        <v>268</v>
      </c>
      <c r="E1" s="511"/>
      <c r="F1" s="511"/>
      <c r="G1" s="512"/>
      <c r="H1" s="512"/>
      <c r="I1" s="513"/>
      <c r="J1" s="512"/>
      <c r="K1" s="511"/>
      <c r="L1" s="511"/>
      <c r="M1" s="511"/>
    </row>
    <row r="2" spans="1:59" ht="18.75" x14ac:dyDescent="0.3">
      <c r="D2" s="213" t="s">
        <v>269</v>
      </c>
      <c r="E2" s="214"/>
      <c r="F2" s="444"/>
      <c r="G2" s="215"/>
      <c r="H2" s="421"/>
      <c r="I2" s="216"/>
      <c r="J2" s="215"/>
      <c r="K2" s="214"/>
      <c r="L2" s="214"/>
      <c r="M2" s="214"/>
    </row>
    <row r="3" spans="1:59" ht="18.75" x14ac:dyDescent="0.3">
      <c r="D3" s="217" t="s">
        <v>251</v>
      </c>
      <c r="E3" s="214"/>
      <c r="F3" s="444"/>
      <c r="G3" s="215"/>
      <c r="H3" s="421"/>
      <c r="I3" s="216"/>
      <c r="J3" s="215"/>
      <c r="K3" s="214"/>
      <c r="L3" s="214"/>
      <c r="M3" s="214"/>
    </row>
    <row r="4" spans="1:59" ht="17.25" thickBot="1" x14ac:dyDescent="0.3">
      <c r="G4" s="219"/>
      <c r="M4" s="222" t="s">
        <v>5</v>
      </c>
    </row>
    <row r="5" spans="1:59" s="251" customFormat="1" ht="16.5" thickBot="1" x14ac:dyDescent="0.3">
      <c r="A5" s="209"/>
      <c r="B5" s="209"/>
      <c r="C5" s="23"/>
      <c r="D5" s="514" t="s">
        <v>165</v>
      </c>
      <c r="E5" s="514" t="s">
        <v>249</v>
      </c>
      <c r="F5" s="514" t="s">
        <v>250</v>
      </c>
      <c r="G5" s="516" t="s">
        <v>124</v>
      </c>
      <c r="H5" s="516" t="s">
        <v>116</v>
      </c>
      <c r="I5" s="518" t="s">
        <v>117</v>
      </c>
      <c r="J5" s="518" t="s">
        <v>118</v>
      </c>
      <c r="K5" s="518" t="s">
        <v>0</v>
      </c>
      <c r="L5" s="525" t="s">
        <v>1</v>
      </c>
      <c r="M5" s="526"/>
      <c r="N5" s="520" t="s">
        <v>7</v>
      </c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1"/>
      <c r="AA5" s="521"/>
      <c r="AB5" s="521"/>
      <c r="AC5" s="521"/>
      <c r="AD5" s="521"/>
      <c r="AE5" s="521"/>
      <c r="AF5" s="521"/>
      <c r="AG5" s="521"/>
      <c r="AH5" s="521"/>
      <c r="AI5" s="521"/>
      <c r="AJ5" s="521"/>
      <c r="AK5" s="521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9" s="251" customFormat="1" ht="107.25" customHeight="1" thickBot="1" x14ac:dyDescent="0.3">
      <c r="A6" s="209"/>
      <c r="B6" s="209"/>
      <c r="C6" s="23"/>
      <c r="D6" s="515"/>
      <c r="E6" s="515"/>
      <c r="F6" s="515"/>
      <c r="G6" s="517"/>
      <c r="H6" s="517"/>
      <c r="I6" s="519"/>
      <c r="J6" s="519"/>
      <c r="K6" s="519"/>
      <c r="L6" s="223" t="s">
        <v>119</v>
      </c>
      <c r="M6" s="223" t="s">
        <v>120</v>
      </c>
      <c r="N6" s="79" t="s">
        <v>0</v>
      </c>
      <c r="O6" s="5">
        <v>1343</v>
      </c>
      <c r="P6" s="5">
        <v>1131</v>
      </c>
      <c r="Q6" s="5">
        <v>1133</v>
      </c>
      <c r="R6" s="5">
        <v>1310</v>
      </c>
      <c r="S6" s="5">
        <v>1140</v>
      </c>
      <c r="T6" s="5">
        <v>1320</v>
      </c>
      <c r="U6" s="5">
        <v>1132</v>
      </c>
      <c r="V6" s="5">
        <v>1134</v>
      </c>
      <c r="W6" s="5">
        <v>1165</v>
      </c>
      <c r="X6" s="6" t="s">
        <v>8</v>
      </c>
      <c r="Y6" s="80" t="s">
        <v>1</v>
      </c>
      <c r="Z6" s="5">
        <v>2123</v>
      </c>
      <c r="AA6" s="5">
        <v>1310</v>
      </c>
      <c r="AB6" s="5">
        <v>2131</v>
      </c>
      <c r="AC6" s="5">
        <v>2133</v>
      </c>
      <c r="AD6" s="5">
        <v>2110</v>
      </c>
      <c r="AE6" s="7"/>
      <c r="AF6" s="7"/>
      <c r="AG6" s="7"/>
      <c r="AH6" s="7"/>
      <c r="AI6" s="7"/>
      <c r="AJ6" s="6" t="s">
        <v>8</v>
      </c>
      <c r="AK6" s="7" t="s">
        <v>10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9" s="252" customFormat="1" ht="23.25" hidden="1" customHeight="1" thickBot="1" x14ac:dyDescent="0.3">
      <c r="A7" s="210"/>
      <c r="B7" s="210"/>
      <c r="C7" s="23"/>
      <c r="D7" s="224">
        <v>1</v>
      </c>
      <c r="E7" s="224">
        <v>2</v>
      </c>
      <c r="F7" s="224">
        <v>3</v>
      </c>
      <c r="G7" s="225">
        <v>4</v>
      </c>
      <c r="H7" s="225">
        <v>5</v>
      </c>
      <c r="I7" s="226">
        <v>6</v>
      </c>
      <c r="J7" s="226">
        <v>7</v>
      </c>
      <c r="K7" s="226">
        <v>8</v>
      </c>
      <c r="L7" s="226">
        <v>9</v>
      </c>
      <c r="M7" s="226">
        <v>10</v>
      </c>
      <c r="N7" s="79"/>
      <c r="O7" s="5"/>
      <c r="P7" s="5"/>
      <c r="Q7" s="5"/>
      <c r="R7" s="5"/>
      <c r="S7" s="5"/>
      <c r="T7" s="5"/>
      <c r="U7" s="5"/>
      <c r="V7" s="5"/>
      <c r="W7" s="5"/>
      <c r="X7" s="6"/>
      <c r="Y7" s="80"/>
      <c r="Z7" s="5"/>
      <c r="AA7" s="5"/>
      <c r="AB7" s="5"/>
      <c r="AC7" s="5"/>
      <c r="AD7" s="5"/>
      <c r="AE7" s="7"/>
      <c r="AF7" s="7"/>
      <c r="AG7" s="7"/>
      <c r="AH7" s="7"/>
      <c r="AI7" s="7"/>
      <c r="AJ7" s="6"/>
      <c r="AK7" s="7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9" s="253" customFormat="1" ht="57" customHeight="1" x14ac:dyDescent="0.3">
      <c r="A8" s="211" t="str">
        <f>IF(J8=0,"","п")</f>
        <v>п</v>
      </c>
      <c r="B8" s="212"/>
      <c r="C8" s="29"/>
      <c r="D8" s="227"/>
      <c r="E8" s="227"/>
      <c r="F8" s="228"/>
      <c r="G8" s="229"/>
      <c r="H8" s="230" t="s">
        <v>283</v>
      </c>
      <c r="I8" s="231" t="s">
        <v>270</v>
      </c>
      <c r="J8" s="232">
        <f>+K8+L8</f>
        <v>7889705</v>
      </c>
      <c r="K8" s="233">
        <f>+K9+K13</f>
        <v>7889705</v>
      </c>
      <c r="L8" s="234">
        <f>+L9+L13</f>
        <v>0</v>
      </c>
      <c r="M8" s="234">
        <f>+M9+M13</f>
        <v>0</v>
      </c>
      <c r="N8" s="33">
        <f>SUM(O8:W8)</f>
        <v>0</v>
      </c>
      <c r="O8" s="34">
        <f t="shared" ref="O8:X8" si="0">+O9+O13</f>
        <v>0</v>
      </c>
      <c r="P8" s="34">
        <f t="shared" si="0"/>
        <v>0</v>
      </c>
      <c r="Q8" s="34">
        <f t="shared" si="0"/>
        <v>0</v>
      </c>
      <c r="R8" s="34">
        <f t="shared" si="0"/>
        <v>0</v>
      </c>
      <c r="S8" s="34">
        <f t="shared" si="0"/>
        <v>0</v>
      </c>
      <c r="T8" s="34">
        <f t="shared" si="0"/>
        <v>0</v>
      </c>
      <c r="U8" s="34">
        <f t="shared" si="0"/>
        <v>0</v>
      </c>
      <c r="V8" s="34">
        <f t="shared" si="0"/>
        <v>0</v>
      </c>
      <c r="W8" s="34">
        <f t="shared" si="0"/>
        <v>0</v>
      </c>
      <c r="X8" s="34">
        <f t="shared" si="0"/>
        <v>0</v>
      </c>
      <c r="Y8" s="35">
        <f>SUM(Z8:AI8)</f>
        <v>0</v>
      </c>
      <c r="Z8" s="34">
        <f t="shared" ref="Z8:AJ8" si="1">+Z9+Z13</f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34">
        <f t="shared" si="1"/>
        <v>0</v>
      </c>
      <c r="AH8" s="34">
        <f t="shared" si="1"/>
        <v>0</v>
      </c>
      <c r="AI8" s="34">
        <f t="shared" si="1"/>
        <v>0</v>
      </c>
      <c r="AJ8" s="34">
        <f t="shared" si="1"/>
        <v>0</v>
      </c>
      <c r="AK8" s="35">
        <f>Y8+N8</f>
        <v>0</v>
      </c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</row>
    <row r="9" spans="1:59" s="255" customFormat="1" ht="39" x14ac:dyDescent="0.3">
      <c r="A9" s="211" t="str">
        <f t="shared" ref="A9:A86" si="2">IF(J9=0,"","п")</f>
        <v>п</v>
      </c>
      <c r="B9" s="212" t="s">
        <v>181</v>
      </c>
      <c r="C9" s="135"/>
      <c r="D9" s="235" t="s">
        <v>30</v>
      </c>
      <c r="E9" s="236"/>
      <c r="F9" s="236"/>
      <c r="G9" s="237" t="s">
        <v>3</v>
      </c>
      <c r="H9" s="238"/>
      <c r="I9" s="239"/>
      <c r="J9" s="240">
        <f t="shared" ref="J9:J73" si="3">+K9+L9</f>
        <v>4288530</v>
      </c>
      <c r="K9" s="241">
        <f>K10</f>
        <v>4288530</v>
      </c>
      <c r="L9" s="242">
        <f>L10</f>
        <v>0</v>
      </c>
      <c r="M9" s="242">
        <f>M10</f>
        <v>0</v>
      </c>
      <c r="N9" s="33">
        <f>SUM(O9:W9)</f>
        <v>0</v>
      </c>
      <c r="O9" s="72"/>
      <c r="P9" s="72"/>
      <c r="Q9" s="72"/>
      <c r="R9" s="72"/>
      <c r="S9" s="72"/>
      <c r="T9" s="72"/>
      <c r="U9" s="72"/>
      <c r="V9" s="72"/>
      <c r="W9" s="72"/>
      <c r="X9" s="72"/>
      <c r="Y9" s="35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35">
        <f>Y9+N9</f>
        <v>0</v>
      </c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254"/>
    </row>
    <row r="10" spans="1:59" s="255" customFormat="1" ht="39" x14ac:dyDescent="0.3">
      <c r="A10" s="211" t="str">
        <f t="shared" si="2"/>
        <v>п</v>
      </c>
      <c r="B10" s="212" t="s">
        <v>181</v>
      </c>
      <c r="C10" s="135"/>
      <c r="D10" s="235" t="s">
        <v>29</v>
      </c>
      <c r="E10" s="236"/>
      <c r="F10" s="236"/>
      <c r="G10" s="237" t="s">
        <v>3</v>
      </c>
      <c r="H10" s="238"/>
      <c r="I10" s="239"/>
      <c r="J10" s="240">
        <f>+K10+L10</f>
        <v>4288530</v>
      </c>
      <c r="K10" s="241">
        <f>SUM(K11)</f>
        <v>4288530</v>
      </c>
      <c r="L10" s="241">
        <f>SUM(L11)</f>
        <v>0</v>
      </c>
      <c r="M10" s="241">
        <f>SUM(M11)</f>
        <v>0</v>
      </c>
      <c r="N10" s="33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35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35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254"/>
    </row>
    <row r="11" spans="1:59" s="253" customFormat="1" ht="37.5" x14ac:dyDescent="0.3">
      <c r="A11" s="211" t="str">
        <f t="shared" si="2"/>
        <v>п</v>
      </c>
      <c r="B11" s="212" t="s">
        <v>181</v>
      </c>
      <c r="C11" s="135" t="s">
        <v>152</v>
      </c>
      <c r="D11" s="243" t="s">
        <v>189</v>
      </c>
      <c r="E11" s="243" t="s">
        <v>190</v>
      </c>
      <c r="F11" s="244" t="s">
        <v>162</v>
      </c>
      <c r="G11" s="245" t="s">
        <v>87</v>
      </c>
      <c r="H11" s="246"/>
      <c r="I11" s="247"/>
      <c r="J11" s="248">
        <f t="shared" si="3"/>
        <v>4288530</v>
      </c>
      <c r="K11" s="249">
        <f>2721406+20124+1547000</f>
        <v>4288530</v>
      </c>
      <c r="L11" s="250"/>
      <c r="M11" s="250"/>
      <c r="N11" s="33">
        <f>SUM(O11:W11)</f>
        <v>0</v>
      </c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35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35">
        <f>Y11+N11</f>
        <v>0</v>
      </c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254"/>
    </row>
    <row r="12" spans="1:59" s="97" customFormat="1" ht="37.5" x14ac:dyDescent="0.3">
      <c r="A12" s="28" t="str">
        <f t="shared" si="2"/>
        <v>п</v>
      </c>
      <c r="B12" s="212" t="s">
        <v>181</v>
      </c>
      <c r="C12" s="136"/>
      <c r="D12" s="423"/>
      <c r="E12" s="118"/>
      <c r="F12" s="346"/>
      <c r="G12" s="91" t="s">
        <v>23</v>
      </c>
      <c r="H12" s="433"/>
      <c r="I12" s="162"/>
      <c r="J12" s="278">
        <f t="shared" si="3"/>
        <v>1547000</v>
      </c>
      <c r="K12" s="350">
        <v>1547000</v>
      </c>
      <c r="L12" s="422"/>
      <c r="M12" s="422"/>
      <c r="N12" s="94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6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6"/>
      <c r="BG12" s="143"/>
    </row>
    <row r="13" spans="1:59" s="255" customFormat="1" ht="39" x14ac:dyDescent="0.3">
      <c r="A13" s="211" t="str">
        <f t="shared" si="2"/>
        <v>п</v>
      </c>
      <c r="B13" s="212" t="s">
        <v>182</v>
      </c>
      <c r="C13" s="29"/>
      <c r="D13" s="256" t="s">
        <v>31</v>
      </c>
      <c r="E13" s="256"/>
      <c r="F13" s="256"/>
      <c r="G13" s="257" t="s">
        <v>18</v>
      </c>
      <c r="H13" s="258"/>
      <c r="I13" s="259"/>
      <c r="J13" s="260">
        <f>+K13+L13</f>
        <v>3601175</v>
      </c>
      <c r="K13" s="261">
        <f>+K14</f>
        <v>3601175</v>
      </c>
      <c r="L13" s="262">
        <f>+L14</f>
        <v>0</v>
      </c>
      <c r="M13" s="262">
        <f>+M14</f>
        <v>0</v>
      </c>
      <c r="N13" s="33">
        <f>SUM(O13:W13)</f>
        <v>0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35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35">
        <f>Y13+N13</f>
        <v>0</v>
      </c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254"/>
    </row>
    <row r="14" spans="1:59" s="255" customFormat="1" ht="39" x14ac:dyDescent="0.3">
      <c r="A14" s="211" t="str">
        <f t="shared" si="2"/>
        <v>п</v>
      </c>
      <c r="C14" s="29"/>
      <c r="D14" s="256" t="s">
        <v>32</v>
      </c>
      <c r="E14" s="256"/>
      <c r="F14" s="256"/>
      <c r="G14" s="257" t="s">
        <v>18</v>
      </c>
      <c r="H14" s="258"/>
      <c r="I14" s="259"/>
      <c r="J14" s="260">
        <f t="shared" si="3"/>
        <v>3601175</v>
      </c>
      <c r="K14" s="261">
        <f>SUM(K15:K21)</f>
        <v>3601175</v>
      </c>
      <c r="L14" s="261">
        <f>SUM(L15:L21)</f>
        <v>0</v>
      </c>
      <c r="M14" s="261">
        <f>SUM(M15:M21)</f>
        <v>0</v>
      </c>
      <c r="N14" s="33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35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35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254"/>
    </row>
    <row r="15" spans="1:59" s="36" customFormat="1" ht="21.95" hidden="1" customHeight="1" x14ac:dyDescent="0.25">
      <c r="A15" s="28" t="str">
        <f t="shared" si="2"/>
        <v/>
      </c>
      <c r="B15" s="29" t="s">
        <v>182</v>
      </c>
      <c r="C15" s="29"/>
      <c r="D15" s="243"/>
      <c r="E15" s="114"/>
      <c r="F15" s="244"/>
      <c r="G15" s="38"/>
      <c r="H15" s="272"/>
      <c r="I15" s="151"/>
      <c r="J15" s="151">
        <f t="shared" si="3"/>
        <v>0</v>
      </c>
      <c r="K15" s="41"/>
      <c r="L15" s="39"/>
      <c r="M15" s="39"/>
      <c r="N15" s="33">
        <f>SUM(O15:W15)</f>
        <v>0</v>
      </c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35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35">
        <f>Y15+N15</f>
        <v>0</v>
      </c>
      <c r="BG15" s="143"/>
    </row>
    <row r="16" spans="1:59" s="253" customFormat="1" ht="37.5" x14ac:dyDescent="0.3">
      <c r="A16" s="211" t="str">
        <f t="shared" si="2"/>
        <v>п</v>
      </c>
      <c r="B16" s="212" t="s">
        <v>182</v>
      </c>
      <c r="C16" s="29"/>
      <c r="D16" s="243" t="s">
        <v>33</v>
      </c>
      <c r="E16" s="243" t="s">
        <v>34</v>
      </c>
      <c r="F16" s="244" t="s">
        <v>176</v>
      </c>
      <c r="G16" s="245" t="s">
        <v>35</v>
      </c>
      <c r="H16" s="246"/>
      <c r="I16" s="247"/>
      <c r="J16" s="248">
        <f t="shared" si="3"/>
        <v>16740</v>
      </c>
      <c r="K16" s="249">
        <v>16740</v>
      </c>
      <c r="L16" s="263"/>
      <c r="M16" s="263"/>
      <c r="N16" s="3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35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35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254"/>
    </row>
    <row r="17" spans="1:59" s="253" customFormat="1" ht="56.25" x14ac:dyDescent="0.3">
      <c r="A17" s="211" t="str">
        <f t="shared" si="2"/>
        <v>п</v>
      </c>
      <c r="B17" s="212" t="s">
        <v>182</v>
      </c>
      <c r="C17" s="29"/>
      <c r="D17" s="243" t="s">
        <v>36</v>
      </c>
      <c r="E17" s="243" t="s">
        <v>37</v>
      </c>
      <c r="F17" s="244" t="s">
        <v>176</v>
      </c>
      <c r="G17" s="245" t="s">
        <v>177</v>
      </c>
      <c r="H17" s="246"/>
      <c r="I17" s="247"/>
      <c r="J17" s="248">
        <f t="shared" si="3"/>
        <v>2865060</v>
      </c>
      <c r="K17" s="249">
        <v>2865060</v>
      </c>
      <c r="L17" s="263"/>
      <c r="M17" s="263"/>
      <c r="N17" s="3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35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35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254"/>
    </row>
    <row r="18" spans="1:59" s="253" customFormat="1" ht="37.5" x14ac:dyDescent="0.3">
      <c r="A18" s="211" t="str">
        <f t="shared" si="2"/>
        <v>п</v>
      </c>
      <c r="B18" s="212" t="s">
        <v>182</v>
      </c>
      <c r="C18" s="29"/>
      <c r="D18" s="243" t="s">
        <v>38</v>
      </c>
      <c r="E18" s="243" t="s">
        <v>39</v>
      </c>
      <c r="F18" s="244" t="s">
        <v>176</v>
      </c>
      <c r="G18" s="245" t="s">
        <v>178</v>
      </c>
      <c r="H18" s="246"/>
      <c r="I18" s="247"/>
      <c r="J18" s="248">
        <f t="shared" si="3"/>
        <v>43000</v>
      </c>
      <c r="K18" s="249">
        <v>43000</v>
      </c>
      <c r="L18" s="263"/>
      <c r="M18" s="263"/>
      <c r="N18" s="3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35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35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254"/>
    </row>
    <row r="19" spans="1:59" s="253" customFormat="1" ht="84" customHeight="1" x14ac:dyDescent="0.3">
      <c r="A19" s="211" t="str">
        <f t="shared" si="2"/>
        <v>п</v>
      </c>
      <c r="B19" s="212" t="s">
        <v>182</v>
      </c>
      <c r="C19" s="29"/>
      <c r="D19" s="243" t="s">
        <v>40</v>
      </c>
      <c r="E19" s="243" t="s">
        <v>41</v>
      </c>
      <c r="F19" s="244" t="s">
        <v>172</v>
      </c>
      <c r="G19" s="245" t="s">
        <v>132</v>
      </c>
      <c r="H19" s="264"/>
      <c r="I19" s="265"/>
      <c r="J19" s="248">
        <f t="shared" si="3"/>
        <v>213000</v>
      </c>
      <c r="K19" s="249">
        <f>72900+140100</f>
        <v>213000</v>
      </c>
      <c r="L19" s="263">
        <f>+L21</f>
        <v>0</v>
      </c>
      <c r="M19" s="263">
        <f>+M21</f>
        <v>0</v>
      </c>
      <c r="N19" s="3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35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35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254"/>
    </row>
    <row r="20" spans="1:59" s="253" customFormat="1" ht="38.25" thickBot="1" x14ac:dyDescent="0.35">
      <c r="A20" s="211" t="str">
        <f t="shared" si="2"/>
        <v>п</v>
      </c>
      <c r="B20" s="212" t="s">
        <v>182</v>
      </c>
      <c r="C20" s="29"/>
      <c r="D20" s="243" t="s">
        <v>191</v>
      </c>
      <c r="E20" s="243" t="s">
        <v>190</v>
      </c>
      <c r="F20" s="244" t="s">
        <v>162</v>
      </c>
      <c r="G20" s="245" t="s">
        <v>87</v>
      </c>
      <c r="H20" s="246"/>
      <c r="I20" s="247"/>
      <c r="J20" s="248">
        <f>+K20+L20</f>
        <v>463375</v>
      </c>
      <c r="K20" s="249">
        <v>463375</v>
      </c>
      <c r="L20" s="263"/>
      <c r="M20" s="263"/>
      <c r="N20" s="33">
        <f>SUM(O20:W20)</f>
        <v>0</v>
      </c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35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35">
        <f>Y20+N20</f>
        <v>0</v>
      </c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254"/>
    </row>
    <row r="21" spans="1:59" s="36" customFormat="1" ht="19.5" hidden="1" thickBot="1" x14ac:dyDescent="0.3">
      <c r="A21" s="28" t="str">
        <f t="shared" si="2"/>
        <v/>
      </c>
      <c r="B21" s="29" t="s">
        <v>182</v>
      </c>
      <c r="C21" s="29"/>
      <c r="D21" s="243"/>
      <c r="E21" s="114"/>
      <c r="F21" s="244"/>
      <c r="G21" s="38"/>
      <c r="H21" s="246"/>
      <c r="I21" s="151"/>
      <c r="J21" s="169">
        <f t="shared" si="3"/>
        <v>0</v>
      </c>
      <c r="K21" s="41"/>
      <c r="L21" s="39"/>
      <c r="M21" s="39"/>
      <c r="N21" s="33">
        <f>SUM(O21:W21)</f>
        <v>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35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35">
        <f>Y21+N21</f>
        <v>0</v>
      </c>
      <c r="BG21" s="143"/>
    </row>
    <row r="22" spans="1:59" s="253" customFormat="1" ht="113.25" customHeight="1" x14ac:dyDescent="0.3">
      <c r="A22" s="211" t="str">
        <f t="shared" si="2"/>
        <v>п</v>
      </c>
      <c r="B22" s="212"/>
      <c r="C22" s="29"/>
      <c r="D22" s="227"/>
      <c r="E22" s="227"/>
      <c r="F22" s="228"/>
      <c r="G22" s="229"/>
      <c r="H22" s="230" t="s">
        <v>248</v>
      </c>
      <c r="I22" s="231" t="s">
        <v>131</v>
      </c>
      <c r="J22" s="232">
        <f t="shared" si="3"/>
        <v>16339645</v>
      </c>
      <c r="K22" s="233">
        <f t="shared" ref="K22:M23" si="4">+K23</f>
        <v>15639645</v>
      </c>
      <c r="L22" s="233">
        <f t="shared" si="4"/>
        <v>700000</v>
      </c>
      <c r="M22" s="233">
        <f t="shared" si="4"/>
        <v>700000</v>
      </c>
      <c r="N22" s="33">
        <f>SUM(O22:W22)</f>
        <v>0</v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5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5">
        <f>Y22+N22</f>
        <v>0</v>
      </c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254"/>
    </row>
    <row r="23" spans="1:59" s="255" customFormat="1" ht="39" x14ac:dyDescent="0.3">
      <c r="A23" s="211" t="str">
        <f t="shared" si="2"/>
        <v>п</v>
      </c>
      <c r="B23" s="212" t="s">
        <v>181</v>
      </c>
      <c r="C23" s="135"/>
      <c r="D23" s="235" t="s">
        <v>30</v>
      </c>
      <c r="E23" s="235"/>
      <c r="F23" s="235"/>
      <c r="G23" s="237" t="s">
        <v>3</v>
      </c>
      <c r="H23" s="238"/>
      <c r="I23" s="239"/>
      <c r="J23" s="240">
        <f t="shared" si="3"/>
        <v>16339645</v>
      </c>
      <c r="K23" s="241">
        <f t="shared" si="4"/>
        <v>15639645</v>
      </c>
      <c r="L23" s="241">
        <f t="shared" si="4"/>
        <v>700000</v>
      </c>
      <c r="M23" s="241">
        <f t="shared" si="4"/>
        <v>700000</v>
      </c>
      <c r="N23" s="33">
        <f>SUM(O23:W23)</f>
        <v>0</v>
      </c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>
        <f>Y23+N23</f>
        <v>0</v>
      </c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254"/>
    </row>
    <row r="24" spans="1:59" s="255" customFormat="1" ht="39" x14ac:dyDescent="0.3">
      <c r="A24" s="211" t="str">
        <f t="shared" si="2"/>
        <v>п</v>
      </c>
      <c r="B24" s="212" t="s">
        <v>181</v>
      </c>
      <c r="C24" s="135"/>
      <c r="D24" s="235" t="s">
        <v>29</v>
      </c>
      <c r="E24" s="235"/>
      <c r="F24" s="235"/>
      <c r="G24" s="237" t="s">
        <v>3</v>
      </c>
      <c r="H24" s="238"/>
      <c r="I24" s="239"/>
      <c r="J24" s="240">
        <f>+K24+L24</f>
        <v>16339645</v>
      </c>
      <c r="K24" s="241">
        <f>SUM(K25)+K28</f>
        <v>15639645</v>
      </c>
      <c r="L24" s="241">
        <f>SUM(L25)+L28</f>
        <v>700000</v>
      </c>
      <c r="M24" s="241">
        <f>SUM(M25)+M28</f>
        <v>700000</v>
      </c>
      <c r="N24" s="33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254"/>
    </row>
    <row r="25" spans="1:59" s="253" customFormat="1" ht="38.25" thickBot="1" x14ac:dyDescent="0.35">
      <c r="A25" s="211" t="str">
        <f>IF(J25=0,"","п")</f>
        <v>п</v>
      </c>
      <c r="B25" s="212" t="s">
        <v>181</v>
      </c>
      <c r="C25" s="135"/>
      <c r="D25" s="243" t="s">
        <v>45</v>
      </c>
      <c r="E25" s="266" t="s">
        <v>175</v>
      </c>
      <c r="F25" s="267" t="s">
        <v>164</v>
      </c>
      <c r="G25" s="245" t="s">
        <v>173</v>
      </c>
      <c r="H25" s="246"/>
      <c r="I25" s="247"/>
      <c r="J25" s="248">
        <f>+K25+L25</f>
        <v>16339645</v>
      </c>
      <c r="K25" s="249">
        <v>15639645</v>
      </c>
      <c r="L25" s="263">
        <v>700000</v>
      </c>
      <c r="M25" s="263">
        <v>700000</v>
      </c>
      <c r="N25" s="33">
        <f>SUM(O25:W25)</f>
        <v>0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35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35">
        <f>Y25+N25</f>
        <v>0</v>
      </c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254"/>
    </row>
    <row r="26" spans="1:59" s="97" customFormat="1" ht="38.25" hidden="1" thickBot="1" x14ac:dyDescent="0.35">
      <c r="A26" s="196" t="str">
        <f>IF(J26=0,"","п")</f>
        <v/>
      </c>
      <c r="B26" s="132" t="s">
        <v>181</v>
      </c>
      <c r="C26" s="136"/>
      <c r="D26" s="424"/>
      <c r="E26" s="199"/>
      <c r="F26" s="450"/>
      <c r="G26" s="91" t="s">
        <v>221</v>
      </c>
      <c r="H26" s="343"/>
      <c r="I26" s="165"/>
      <c r="J26" s="170">
        <f>+K26+L26</f>
        <v>0</v>
      </c>
      <c r="K26" s="37"/>
      <c r="L26" s="200"/>
      <c r="M26" s="200"/>
      <c r="N26" s="94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6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6"/>
      <c r="BG26" s="143"/>
    </row>
    <row r="27" spans="1:59" s="97" customFormat="1" ht="38.25" hidden="1" thickBot="1" x14ac:dyDescent="0.35">
      <c r="A27" s="196" t="str">
        <f t="shared" si="2"/>
        <v/>
      </c>
      <c r="B27" s="132" t="s">
        <v>181</v>
      </c>
      <c r="C27" s="136"/>
      <c r="D27" s="425"/>
      <c r="E27" s="199"/>
      <c r="F27" s="450"/>
      <c r="G27" s="204" t="s">
        <v>23</v>
      </c>
      <c r="H27" s="298"/>
      <c r="I27" s="154"/>
      <c r="J27" s="174">
        <f t="shared" si="3"/>
        <v>0</v>
      </c>
      <c r="K27" s="103"/>
      <c r="L27" s="205"/>
      <c r="M27" s="205"/>
      <c r="N27" s="94">
        <f>SUM(O27:W27)</f>
        <v>0</v>
      </c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6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6">
        <f>Y27+N27</f>
        <v>0</v>
      </c>
      <c r="BG27" s="143"/>
    </row>
    <row r="28" spans="1:59" s="36" customFormat="1" ht="54.75" hidden="1" thickBot="1" x14ac:dyDescent="0.3">
      <c r="A28" s="196" t="str">
        <f>IF(J28=0,"","п")</f>
        <v/>
      </c>
      <c r="B28" s="132" t="s">
        <v>181</v>
      </c>
      <c r="C28" s="135"/>
      <c r="D28" s="244" t="s">
        <v>262</v>
      </c>
      <c r="E28" s="114">
        <v>7363</v>
      </c>
      <c r="F28" s="244" t="s">
        <v>156</v>
      </c>
      <c r="G28" s="38" t="s">
        <v>98</v>
      </c>
      <c r="H28" s="246"/>
      <c r="I28" s="151"/>
      <c r="J28" s="169">
        <f>+K28+L28</f>
        <v>0</v>
      </c>
      <c r="K28" s="41"/>
      <c r="L28" s="41"/>
      <c r="M28" s="41"/>
      <c r="N28" s="3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35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35"/>
      <c r="BG28" s="143"/>
    </row>
    <row r="29" spans="1:59" s="97" customFormat="1" ht="38.25" hidden="1" thickBot="1" x14ac:dyDescent="0.35">
      <c r="A29" s="196" t="str">
        <f>IF(J29=0,"","п")</f>
        <v/>
      </c>
      <c r="B29" s="132" t="s">
        <v>181</v>
      </c>
      <c r="C29" s="136"/>
      <c r="D29" s="273"/>
      <c r="E29" s="130"/>
      <c r="F29" s="274"/>
      <c r="G29" s="98" t="s">
        <v>23</v>
      </c>
      <c r="H29" s="343"/>
      <c r="I29" s="165"/>
      <c r="J29" s="170">
        <f>+K29+L29</f>
        <v>0</v>
      </c>
      <c r="K29" s="37"/>
      <c r="L29" s="200"/>
      <c r="M29" s="200"/>
      <c r="N29" s="94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6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6"/>
      <c r="BG29" s="143"/>
    </row>
    <row r="30" spans="1:59" s="97" customFormat="1" ht="19.5" hidden="1" thickBot="1" x14ac:dyDescent="0.35">
      <c r="A30" s="196"/>
      <c r="B30" s="132"/>
      <c r="C30" s="136"/>
      <c r="D30" s="424"/>
      <c r="E30" s="202"/>
      <c r="F30" s="451"/>
      <c r="G30" s="91"/>
      <c r="H30" s="433"/>
      <c r="I30" s="162"/>
      <c r="J30" s="175"/>
      <c r="K30" s="93"/>
      <c r="L30" s="93"/>
      <c r="M30" s="93"/>
      <c r="N30" s="94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6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6"/>
      <c r="BG30" s="143"/>
    </row>
    <row r="31" spans="1:59" s="36" customFormat="1" ht="113.25" hidden="1" thickBot="1" x14ac:dyDescent="0.3">
      <c r="A31" s="28" t="str">
        <f t="shared" si="2"/>
        <v/>
      </c>
      <c r="B31" s="29"/>
      <c r="C31" s="29"/>
      <c r="D31" s="227"/>
      <c r="E31" s="134"/>
      <c r="F31" s="228"/>
      <c r="G31" s="30"/>
      <c r="H31" s="230" t="s">
        <v>129</v>
      </c>
      <c r="I31" s="158" t="s">
        <v>130</v>
      </c>
      <c r="J31" s="167">
        <f t="shared" si="3"/>
        <v>0</v>
      </c>
      <c r="K31" s="32">
        <f>+K32</f>
        <v>0</v>
      </c>
      <c r="L31" s="32">
        <f>+L32</f>
        <v>0</v>
      </c>
      <c r="M31" s="32">
        <f>+M32</f>
        <v>0</v>
      </c>
      <c r="N31" s="33">
        <f>SUM(O31:W31)</f>
        <v>0</v>
      </c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5">
        <f>Y31+N31</f>
        <v>0</v>
      </c>
      <c r="BG31" s="143"/>
    </row>
    <row r="32" spans="1:59" s="50" customFormat="1" ht="36.75" hidden="1" thickBot="1" x14ac:dyDescent="0.3">
      <c r="A32" s="28" t="str">
        <f t="shared" si="2"/>
        <v/>
      </c>
      <c r="B32" s="29" t="s">
        <v>181</v>
      </c>
      <c r="C32" s="135"/>
      <c r="D32" s="235" t="s">
        <v>30</v>
      </c>
      <c r="E32" s="116"/>
      <c r="F32" s="235"/>
      <c r="G32" s="70" t="s">
        <v>3</v>
      </c>
      <c r="H32" s="238"/>
      <c r="I32" s="159"/>
      <c r="J32" s="168">
        <f t="shared" si="3"/>
        <v>0</v>
      </c>
      <c r="K32" s="71">
        <f t="shared" ref="K32:M33" si="5">SUM(K33)</f>
        <v>0</v>
      </c>
      <c r="L32" s="71">
        <f t="shared" si="5"/>
        <v>0</v>
      </c>
      <c r="M32" s="71">
        <f t="shared" si="5"/>
        <v>0</v>
      </c>
      <c r="N32" s="33">
        <f>SUM(O32:W32)</f>
        <v>0</v>
      </c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>
        <f>Y32+N32</f>
        <v>0</v>
      </c>
      <c r="BG32" s="143"/>
    </row>
    <row r="33" spans="1:59" s="50" customFormat="1" ht="36.75" hidden="1" thickBot="1" x14ac:dyDescent="0.3">
      <c r="A33" s="28" t="str">
        <f t="shared" si="2"/>
        <v/>
      </c>
      <c r="B33" s="29" t="s">
        <v>181</v>
      </c>
      <c r="C33" s="135"/>
      <c r="D33" s="235" t="s">
        <v>29</v>
      </c>
      <c r="E33" s="116"/>
      <c r="F33" s="235"/>
      <c r="G33" s="70" t="s">
        <v>3</v>
      </c>
      <c r="H33" s="238"/>
      <c r="I33" s="159"/>
      <c r="J33" s="168">
        <f t="shared" si="3"/>
        <v>0</v>
      </c>
      <c r="K33" s="71">
        <f t="shared" si="5"/>
        <v>0</v>
      </c>
      <c r="L33" s="71">
        <f t="shared" si="5"/>
        <v>0</v>
      </c>
      <c r="M33" s="71">
        <f t="shared" si="5"/>
        <v>0</v>
      </c>
      <c r="N33" s="33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BG33" s="143"/>
    </row>
    <row r="34" spans="1:59" s="36" customFormat="1" ht="36.75" hidden="1" thickBot="1" x14ac:dyDescent="0.3">
      <c r="A34" s="28" t="str">
        <f t="shared" si="2"/>
        <v/>
      </c>
      <c r="B34" s="29" t="s">
        <v>181</v>
      </c>
      <c r="C34" s="137"/>
      <c r="D34" s="268" t="s">
        <v>45</v>
      </c>
      <c r="E34" s="120" t="s">
        <v>175</v>
      </c>
      <c r="F34" s="268" t="s">
        <v>164</v>
      </c>
      <c r="G34" s="38" t="s">
        <v>173</v>
      </c>
      <c r="H34" s="246"/>
      <c r="I34" s="151"/>
      <c r="J34" s="169">
        <f t="shared" si="3"/>
        <v>0</v>
      </c>
      <c r="K34" s="41"/>
      <c r="L34" s="41"/>
      <c r="M34" s="41"/>
      <c r="N34" s="76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BG34" s="143"/>
    </row>
    <row r="35" spans="1:59" s="253" customFormat="1" ht="138" customHeight="1" x14ac:dyDescent="0.3">
      <c r="A35" s="211" t="str">
        <f>IF(J35=0,"","п")</f>
        <v>п</v>
      </c>
      <c r="B35" s="212"/>
      <c r="C35" s="29"/>
      <c r="D35" s="227"/>
      <c r="E35" s="227"/>
      <c r="F35" s="228"/>
      <c r="G35" s="229"/>
      <c r="H35" s="230" t="s">
        <v>271</v>
      </c>
      <c r="I35" s="231" t="s">
        <v>272</v>
      </c>
      <c r="J35" s="232">
        <f>+K35+L35</f>
        <v>2582098</v>
      </c>
      <c r="K35" s="233">
        <f>+K36</f>
        <v>2582098</v>
      </c>
      <c r="L35" s="233">
        <f>+L36</f>
        <v>0</v>
      </c>
      <c r="M35" s="233">
        <f>+M36</f>
        <v>0</v>
      </c>
      <c r="N35" s="33">
        <f>SUM(O35:W35)</f>
        <v>0</v>
      </c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5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5">
        <f>Y35+N35</f>
        <v>0</v>
      </c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254"/>
    </row>
    <row r="36" spans="1:59" s="255" customFormat="1" ht="39" x14ac:dyDescent="0.3">
      <c r="A36" s="211" t="str">
        <f>IF(J36=0,"","п")</f>
        <v>п</v>
      </c>
      <c r="B36" s="212" t="s">
        <v>181</v>
      </c>
      <c r="C36" s="135"/>
      <c r="D36" s="235" t="s">
        <v>30</v>
      </c>
      <c r="E36" s="235"/>
      <c r="F36" s="235"/>
      <c r="G36" s="237" t="s">
        <v>3</v>
      </c>
      <c r="H36" s="238"/>
      <c r="I36" s="239"/>
      <c r="J36" s="240">
        <f>+K36+L36</f>
        <v>2582098</v>
      </c>
      <c r="K36" s="241">
        <f t="shared" ref="K36:M37" si="6">SUM(K37)</f>
        <v>2582098</v>
      </c>
      <c r="L36" s="241">
        <f t="shared" si="6"/>
        <v>0</v>
      </c>
      <c r="M36" s="241">
        <f t="shared" si="6"/>
        <v>0</v>
      </c>
      <c r="N36" s="33">
        <f>SUM(O36:W36)</f>
        <v>0</v>
      </c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>
        <f>Y36+N36</f>
        <v>0</v>
      </c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254"/>
    </row>
    <row r="37" spans="1:59" s="255" customFormat="1" ht="39" x14ac:dyDescent="0.3">
      <c r="A37" s="211" t="str">
        <f>IF(J37=0,"","п")</f>
        <v>п</v>
      </c>
      <c r="B37" s="212" t="s">
        <v>181</v>
      </c>
      <c r="C37" s="135"/>
      <c r="D37" s="235" t="s">
        <v>29</v>
      </c>
      <c r="E37" s="235"/>
      <c r="F37" s="235"/>
      <c r="G37" s="237" t="s">
        <v>3</v>
      </c>
      <c r="H37" s="238"/>
      <c r="I37" s="239"/>
      <c r="J37" s="240">
        <f>+K37+L37</f>
        <v>2582098</v>
      </c>
      <c r="K37" s="241">
        <f>SUM(K38)</f>
        <v>2582098</v>
      </c>
      <c r="L37" s="241">
        <f t="shared" si="6"/>
        <v>0</v>
      </c>
      <c r="M37" s="241">
        <f t="shared" si="6"/>
        <v>0</v>
      </c>
      <c r="N37" s="33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254"/>
    </row>
    <row r="38" spans="1:59" s="253" customFormat="1" ht="26.25" customHeight="1" thickBot="1" x14ac:dyDescent="0.35">
      <c r="A38" s="211" t="str">
        <f>IF(J38=0,"","п")</f>
        <v>п</v>
      </c>
      <c r="B38" s="212" t="s">
        <v>181</v>
      </c>
      <c r="C38" s="135"/>
      <c r="D38" s="268" t="s">
        <v>112</v>
      </c>
      <c r="E38" s="244" t="s">
        <v>113</v>
      </c>
      <c r="F38" s="244" t="s">
        <v>114</v>
      </c>
      <c r="G38" s="245" t="s">
        <v>115</v>
      </c>
      <c r="H38" s="246"/>
      <c r="I38" s="247"/>
      <c r="J38" s="248">
        <f>+K38+L38</f>
        <v>2582098</v>
      </c>
      <c r="K38" s="249">
        <f>2376764+145334+60000</f>
        <v>2582098</v>
      </c>
      <c r="L38" s="249"/>
      <c r="M38" s="249"/>
      <c r="N38" s="33">
        <f>SUM(O38:W38)</f>
        <v>0</v>
      </c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35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35">
        <f>Y38+N38</f>
        <v>0</v>
      </c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254"/>
    </row>
    <row r="39" spans="1:59" s="36" customFormat="1" ht="75.75" hidden="1" thickBot="1" x14ac:dyDescent="0.3">
      <c r="A39" s="28" t="str">
        <f t="shared" si="2"/>
        <v/>
      </c>
      <c r="B39" s="29"/>
      <c r="C39" s="29"/>
      <c r="D39" s="227"/>
      <c r="E39" s="134"/>
      <c r="F39" s="228"/>
      <c r="G39" s="30"/>
      <c r="H39" s="230" t="s">
        <v>242</v>
      </c>
      <c r="I39" s="158" t="s">
        <v>243</v>
      </c>
      <c r="J39" s="167">
        <f t="shared" si="3"/>
        <v>0</v>
      </c>
      <c r="K39" s="32">
        <f>+K40</f>
        <v>0</v>
      </c>
      <c r="L39" s="32">
        <f>+L40</f>
        <v>0</v>
      </c>
      <c r="M39" s="32">
        <f>+M40</f>
        <v>0</v>
      </c>
      <c r="N39" s="33">
        <f>SUM(O39:W39)</f>
        <v>0</v>
      </c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5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5">
        <f>Y39+N39</f>
        <v>0</v>
      </c>
      <c r="BG39" s="143"/>
    </row>
    <row r="40" spans="1:59" s="50" customFormat="1" ht="36.75" hidden="1" thickBot="1" x14ac:dyDescent="0.3">
      <c r="A40" s="28" t="str">
        <f t="shared" si="2"/>
        <v/>
      </c>
      <c r="B40" s="29" t="s">
        <v>181</v>
      </c>
      <c r="C40" s="135"/>
      <c r="D40" s="235" t="s">
        <v>30</v>
      </c>
      <c r="E40" s="116"/>
      <c r="F40" s="235"/>
      <c r="G40" s="70" t="s">
        <v>3</v>
      </c>
      <c r="H40" s="238"/>
      <c r="I40" s="159"/>
      <c r="J40" s="168">
        <f t="shared" si="3"/>
        <v>0</v>
      </c>
      <c r="K40" s="71">
        <f t="shared" ref="K40:M41" si="7">SUM(K41)</f>
        <v>0</v>
      </c>
      <c r="L40" s="71">
        <f t="shared" si="7"/>
        <v>0</v>
      </c>
      <c r="M40" s="71">
        <f t="shared" si="7"/>
        <v>0</v>
      </c>
      <c r="N40" s="33">
        <f>SUM(O40:W40)</f>
        <v>0</v>
      </c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>
        <f>Y40+N40</f>
        <v>0</v>
      </c>
      <c r="BG40" s="143"/>
    </row>
    <row r="41" spans="1:59" s="50" customFormat="1" ht="36.75" hidden="1" thickBot="1" x14ac:dyDescent="0.3">
      <c r="A41" s="28" t="str">
        <f t="shared" si="2"/>
        <v/>
      </c>
      <c r="B41" s="29" t="s">
        <v>181</v>
      </c>
      <c r="C41" s="135"/>
      <c r="D41" s="235" t="s">
        <v>29</v>
      </c>
      <c r="E41" s="116"/>
      <c r="F41" s="235"/>
      <c r="G41" s="70" t="s">
        <v>3</v>
      </c>
      <c r="H41" s="238"/>
      <c r="I41" s="159"/>
      <c r="J41" s="168">
        <f t="shared" si="3"/>
        <v>0</v>
      </c>
      <c r="K41" s="71">
        <f>SUM(K42)</f>
        <v>0</v>
      </c>
      <c r="L41" s="71">
        <f t="shared" si="7"/>
        <v>0</v>
      </c>
      <c r="M41" s="71">
        <f t="shared" si="7"/>
        <v>0</v>
      </c>
      <c r="N41" s="33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BG41" s="143"/>
    </row>
    <row r="42" spans="1:59" s="36" customFormat="1" ht="54.75" hidden="1" thickBot="1" x14ac:dyDescent="0.3">
      <c r="A42" s="28" t="str">
        <f t="shared" si="2"/>
        <v/>
      </c>
      <c r="B42" s="29" t="s">
        <v>181</v>
      </c>
      <c r="C42" s="135"/>
      <c r="D42" s="268" t="s">
        <v>42</v>
      </c>
      <c r="E42" s="115" t="s">
        <v>43</v>
      </c>
      <c r="F42" s="244" t="s">
        <v>88</v>
      </c>
      <c r="G42" s="38" t="s">
        <v>44</v>
      </c>
      <c r="H42" s="246"/>
      <c r="I42" s="151"/>
      <c r="J42" s="169">
        <f t="shared" si="3"/>
        <v>0</v>
      </c>
      <c r="K42" s="41"/>
      <c r="L42" s="40"/>
      <c r="M42" s="40"/>
      <c r="N42" s="33">
        <f>SUM(O42:W42)</f>
        <v>0</v>
      </c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35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35">
        <f>Y42+N42</f>
        <v>0</v>
      </c>
      <c r="BG42" s="143"/>
    </row>
    <row r="43" spans="1:59" s="253" customFormat="1" ht="75" x14ac:dyDescent="0.3">
      <c r="A43" s="211" t="str">
        <f t="shared" si="2"/>
        <v>п</v>
      </c>
      <c r="B43" s="212"/>
      <c r="C43" s="29"/>
      <c r="D43" s="227"/>
      <c r="E43" s="227"/>
      <c r="F43" s="228"/>
      <c r="G43" s="229"/>
      <c r="H43" s="230" t="s">
        <v>244</v>
      </c>
      <c r="I43" s="231" t="s">
        <v>245</v>
      </c>
      <c r="J43" s="232">
        <f t="shared" si="3"/>
        <v>17657602</v>
      </c>
      <c r="K43" s="233">
        <f>+K44</f>
        <v>17657602</v>
      </c>
      <c r="L43" s="233">
        <f>+L44</f>
        <v>0</v>
      </c>
      <c r="M43" s="233">
        <f>+M44</f>
        <v>0</v>
      </c>
      <c r="N43" s="33">
        <f>SUM(O43:W43)</f>
        <v>0</v>
      </c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5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5">
        <f>Y43+N43</f>
        <v>0</v>
      </c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254"/>
    </row>
    <row r="44" spans="1:59" s="255" customFormat="1" ht="39" x14ac:dyDescent="0.3">
      <c r="A44" s="211" t="str">
        <f t="shared" si="2"/>
        <v>п</v>
      </c>
      <c r="B44" s="212" t="s">
        <v>181</v>
      </c>
      <c r="C44" s="135"/>
      <c r="D44" s="235" t="s">
        <v>30</v>
      </c>
      <c r="E44" s="235"/>
      <c r="F44" s="235"/>
      <c r="G44" s="237" t="s">
        <v>3</v>
      </c>
      <c r="H44" s="238"/>
      <c r="I44" s="239"/>
      <c r="J44" s="240">
        <f t="shared" si="3"/>
        <v>17657602</v>
      </c>
      <c r="K44" s="241">
        <f>SUM(K45)</f>
        <v>17657602</v>
      </c>
      <c r="L44" s="241">
        <f>SUM(L45)</f>
        <v>0</v>
      </c>
      <c r="M44" s="241">
        <f>SUM(M45)</f>
        <v>0</v>
      </c>
      <c r="N44" s="33">
        <f>SUM(O44:W44)</f>
        <v>0</v>
      </c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>
        <f>Y44+N44</f>
        <v>0</v>
      </c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254"/>
    </row>
    <row r="45" spans="1:59" s="255" customFormat="1" ht="39" x14ac:dyDescent="0.3">
      <c r="A45" s="211" t="str">
        <f t="shared" si="2"/>
        <v>п</v>
      </c>
      <c r="B45" s="212" t="s">
        <v>181</v>
      </c>
      <c r="C45" s="135"/>
      <c r="D45" s="235" t="s">
        <v>29</v>
      </c>
      <c r="E45" s="235"/>
      <c r="F45" s="235"/>
      <c r="G45" s="237" t="s">
        <v>3</v>
      </c>
      <c r="H45" s="238"/>
      <c r="I45" s="239"/>
      <c r="J45" s="240">
        <f>+K45+L45</f>
        <v>17657602</v>
      </c>
      <c r="K45" s="241">
        <f>SUM(K46:K49)-K49</f>
        <v>17657602</v>
      </c>
      <c r="L45" s="241">
        <f>SUM(L46:L49)-L49</f>
        <v>0</v>
      </c>
      <c r="M45" s="241">
        <f>SUM(M46:M49)-M49</f>
        <v>0</v>
      </c>
      <c r="N45" s="33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254"/>
    </row>
    <row r="46" spans="1:59" s="36" customFormat="1" ht="42" hidden="1" customHeight="1" x14ac:dyDescent="0.25">
      <c r="A46" s="28" t="str">
        <f t="shared" si="2"/>
        <v/>
      </c>
      <c r="B46" s="29" t="s">
        <v>181</v>
      </c>
      <c r="C46" s="137"/>
      <c r="D46" s="268" t="s">
        <v>45</v>
      </c>
      <c r="E46" s="115" t="s">
        <v>175</v>
      </c>
      <c r="F46" s="244" t="s">
        <v>164</v>
      </c>
      <c r="G46" s="54" t="s">
        <v>173</v>
      </c>
      <c r="H46" s="246"/>
      <c r="I46" s="151"/>
      <c r="J46" s="169">
        <f t="shared" si="3"/>
        <v>0</v>
      </c>
      <c r="K46" s="41"/>
      <c r="L46" s="41"/>
      <c r="M46" s="41"/>
      <c r="N46" s="76">
        <v>0</v>
      </c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>
        <v>0</v>
      </c>
      <c r="BG46" s="143"/>
    </row>
    <row r="47" spans="1:59" s="253" customFormat="1" ht="56.25" x14ac:dyDescent="0.3">
      <c r="A47" s="211" t="str">
        <f t="shared" si="2"/>
        <v>п</v>
      </c>
      <c r="B47" s="212" t="s">
        <v>181</v>
      </c>
      <c r="C47" s="135"/>
      <c r="D47" s="268" t="s">
        <v>42</v>
      </c>
      <c r="E47" s="244" t="s">
        <v>43</v>
      </c>
      <c r="F47" s="244" t="s">
        <v>88</v>
      </c>
      <c r="G47" s="245" t="s">
        <v>44</v>
      </c>
      <c r="H47" s="246"/>
      <c r="I47" s="247"/>
      <c r="J47" s="248">
        <f t="shared" si="3"/>
        <v>14236470</v>
      </c>
      <c r="K47" s="248">
        <v>14236470</v>
      </c>
      <c r="L47" s="249"/>
      <c r="M47" s="249"/>
      <c r="N47" s="33">
        <f>SUM(O47:W47)</f>
        <v>0</v>
      </c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35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35">
        <f>Y47+N47</f>
        <v>0</v>
      </c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254"/>
    </row>
    <row r="48" spans="1:59" s="253" customFormat="1" ht="42" customHeight="1" x14ac:dyDescent="0.3">
      <c r="A48" s="211" t="str">
        <f>IF(J48=0,"","п")</f>
        <v>п</v>
      </c>
      <c r="B48" s="212"/>
      <c r="C48" s="135"/>
      <c r="D48" s="268" t="s">
        <v>256</v>
      </c>
      <c r="E48" s="244" t="s">
        <v>257</v>
      </c>
      <c r="F48" s="244" t="s">
        <v>258</v>
      </c>
      <c r="G48" s="271" t="s">
        <v>259</v>
      </c>
      <c r="H48" s="272"/>
      <c r="I48" s="247"/>
      <c r="J48" s="248">
        <f>+K48+L48</f>
        <v>3421132</v>
      </c>
      <c r="K48" s="249">
        <f>1609500+1811632</f>
        <v>3421132</v>
      </c>
      <c r="L48" s="250"/>
      <c r="M48" s="250"/>
      <c r="N48" s="33">
        <f>SUM(O48:W48)</f>
        <v>0</v>
      </c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35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35">
        <f>Y48+N48</f>
        <v>0</v>
      </c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254"/>
    </row>
    <row r="49" spans="1:59" s="291" customFormat="1" ht="38.25" thickBot="1" x14ac:dyDescent="0.35">
      <c r="A49" s="269" t="str">
        <f t="shared" si="2"/>
        <v>п</v>
      </c>
      <c r="B49" s="270"/>
      <c r="C49" s="136"/>
      <c r="D49" s="273"/>
      <c r="E49" s="273"/>
      <c r="F49" s="274"/>
      <c r="G49" s="275" t="s">
        <v>23</v>
      </c>
      <c r="H49" s="276"/>
      <c r="I49" s="277"/>
      <c r="J49" s="278">
        <f t="shared" si="3"/>
        <v>1811632</v>
      </c>
      <c r="K49" s="279">
        <v>1811632</v>
      </c>
      <c r="L49" s="280"/>
      <c r="M49" s="280"/>
      <c r="N49" s="94">
        <f>SUM(O49:W49)</f>
        <v>0</v>
      </c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6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6">
        <f>Y49+N49</f>
        <v>0</v>
      </c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254"/>
    </row>
    <row r="50" spans="1:59" s="253" customFormat="1" ht="56.25" x14ac:dyDescent="0.3">
      <c r="A50" s="211" t="str">
        <f t="shared" si="2"/>
        <v>п</v>
      </c>
      <c r="B50" s="212"/>
      <c r="C50" s="29"/>
      <c r="D50" s="227"/>
      <c r="E50" s="227"/>
      <c r="F50" s="228"/>
      <c r="G50" s="229"/>
      <c r="H50" s="230" t="s">
        <v>17</v>
      </c>
      <c r="I50" s="231" t="s">
        <v>121</v>
      </c>
      <c r="J50" s="232">
        <f t="shared" si="3"/>
        <v>182606</v>
      </c>
      <c r="K50" s="233">
        <f t="shared" ref="K50:M51" si="8">+K51</f>
        <v>182606</v>
      </c>
      <c r="L50" s="233">
        <f t="shared" si="8"/>
        <v>0</v>
      </c>
      <c r="M50" s="233">
        <f t="shared" si="8"/>
        <v>0</v>
      </c>
      <c r="N50" s="33">
        <f>SUM(O50:W50)</f>
        <v>0</v>
      </c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5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5">
        <f>Y50+N50</f>
        <v>0</v>
      </c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254"/>
    </row>
    <row r="51" spans="1:59" s="255" customFormat="1" ht="39" x14ac:dyDescent="0.3">
      <c r="A51" s="211" t="str">
        <f t="shared" si="2"/>
        <v>п</v>
      </c>
      <c r="B51" s="212" t="s">
        <v>13</v>
      </c>
      <c r="C51" s="135"/>
      <c r="D51" s="281" t="s">
        <v>168</v>
      </c>
      <c r="E51" s="256"/>
      <c r="F51" s="256"/>
      <c r="G51" s="257" t="s">
        <v>307</v>
      </c>
      <c r="H51" s="238"/>
      <c r="I51" s="239"/>
      <c r="J51" s="240">
        <f t="shared" si="3"/>
        <v>182606</v>
      </c>
      <c r="K51" s="241">
        <f t="shared" si="8"/>
        <v>182606</v>
      </c>
      <c r="L51" s="241">
        <f t="shared" si="8"/>
        <v>0</v>
      </c>
      <c r="M51" s="241">
        <f t="shared" si="8"/>
        <v>0</v>
      </c>
      <c r="N51" s="33">
        <f>SUM(O51:W51)</f>
        <v>0</v>
      </c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35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35">
        <f>Y51+N51</f>
        <v>0</v>
      </c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254"/>
    </row>
    <row r="52" spans="1:59" s="255" customFormat="1" ht="39" x14ac:dyDescent="0.3">
      <c r="A52" s="211" t="str">
        <f t="shared" si="2"/>
        <v>п</v>
      </c>
      <c r="B52" s="212" t="s">
        <v>13</v>
      </c>
      <c r="C52" s="135"/>
      <c r="D52" s="281" t="s">
        <v>169</v>
      </c>
      <c r="E52" s="256"/>
      <c r="F52" s="256"/>
      <c r="G52" s="257" t="s">
        <v>307</v>
      </c>
      <c r="H52" s="282"/>
      <c r="I52" s="283"/>
      <c r="J52" s="284">
        <f t="shared" si="3"/>
        <v>182606</v>
      </c>
      <c r="K52" s="241">
        <f>SUM(K53:K54)</f>
        <v>182606</v>
      </c>
      <c r="L52" s="241">
        <f>SUM(L53:L54)</f>
        <v>0</v>
      </c>
      <c r="M52" s="241">
        <f>SUM(M53:M54)</f>
        <v>0</v>
      </c>
      <c r="N52" s="33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35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35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254"/>
    </row>
    <row r="53" spans="1:59" s="253" customFormat="1" ht="37.5" x14ac:dyDescent="0.3">
      <c r="A53" s="211" t="str">
        <f t="shared" si="2"/>
        <v>п</v>
      </c>
      <c r="B53" s="212" t="s">
        <v>13</v>
      </c>
      <c r="C53" s="135"/>
      <c r="D53" s="243" t="s">
        <v>192</v>
      </c>
      <c r="E53" s="243" t="s">
        <v>193</v>
      </c>
      <c r="F53" s="244" t="s">
        <v>28</v>
      </c>
      <c r="G53" s="245" t="s">
        <v>194</v>
      </c>
      <c r="H53" s="285"/>
      <c r="I53" s="286"/>
      <c r="J53" s="287">
        <f t="shared" si="3"/>
        <v>54200</v>
      </c>
      <c r="K53" s="288">
        <v>54200</v>
      </c>
      <c r="L53" s="289"/>
      <c r="M53" s="289"/>
      <c r="N53" s="3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35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35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254"/>
    </row>
    <row r="54" spans="1:59" s="253" customFormat="1" ht="24" customHeight="1" thickBot="1" x14ac:dyDescent="0.35">
      <c r="A54" s="211" t="str">
        <f t="shared" si="2"/>
        <v>п</v>
      </c>
      <c r="B54" s="212" t="s">
        <v>13</v>
      </c>
      <c r="C54" s="135"/>
      <c r="D54" s="243" t="s">
        <v>200</v>
      </c>
      <c r="E54" s="243" t="s">
        <v>199</v>
      </c>
      <c r="F54" s="244" t="s">
        <v>28</v>
      </c>
      <c r="G54" s="245" t="s">
        <v>201</v>
      </c>
      <c r="H54" s="285"/>
      <c r="I54" s="286"/>
      <c r="J54" s="287">
        <f t="shared" si="3"/>
        <v>128406</v>
      </c>
      <c r="K54" s="288">
        <v>128406</v>
      </c>
      <c r="L54" s="289"/>
      <c r="M54" s="289"/>
      <c r="N54" s="33">
        <f>SUM(O54:W54)</f>
        <v>0</v>
      </c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35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35">
        <f>Y54+N54</f>
        <v>0</v>
      </c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254"/>
    </row>
    <row r="55" spans="1:59" s="253" customFormat="1" ht="78.75" customHeight="1" x14ac:dyDescent="0.3">
      <c r="A55" s="211" t="str">
        <f t="shared" si="2"/>
        <v>п</v>
      </c>
      <c r="B55" s="212"/>
      <c r="C55" s="29"/>
      <c r="D55" s="227"/>
      <c r="E55" s="227"/>
      <c r="F55" s="228"/>
      <c r="G55" s="229"/>
      <c r="H55" s="230" t="s">
        <v>25</v>
      </c>
      <c r="I55" s="231" t="s">
        <v>135</v>
      </c>
      <c r="J55" s="232">
        <f t="shared" si="3"/>
        <v>295252</v>
      </c>
      <c r="K55" s="233">
        <f>+K56+K64</f>
        <v>295252</v>
      </c>
      <c r="L55" s="233">
        <f>+L56</f>
        <v>0</v>
      </c>
      <c r="M55" s="233">
        <f>+M56</f>
        <v>0</v>
      </c>
      <c r="N55" s="33">
        <f>SUM(O55:W55)</f>
        <v>0</v>
      </c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5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5">
        <f>Y55+N55</f>
        <v>0</v>
      </c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254"/>
    </row>
    <row r="56" spans="1:59" s="255" customFormat="1" ht="39" x14ac:dyDescent="0.3">
      <c r="A56" s="211" t="str">
        <f t="shared" si="2"/>
        <v>п</v>
      </c>
      <c r="B56" s="212" t="s">
        <v>13</v>
      </c>
      <c r="C56" s="135"/>
      <c r="D56" s="281" t="s">
        <v>168</v>
      </c>
      <c r="E56" s="256"/>
      <c r="F56" s="256"/>
      <c r="G56" s="257" t="s">
        <v>307</v>
      </c>
      <c r="H56" s="238"/>
      <c r="I56" s="239"/>
      <c r="J56" s="240">
        <f t="shared" si="3"/>
        <v>293002</v>
      </c>
      <c r="K56" s="241">
        <f>K57</f>
        <v>293002</v>
      </c>
      <c r="L56" s="241">
        <f>L57</f>
        <v>0</v>
      </c>
      <c r="M56" s="241">
        <f>M57</f>
        <v>0</v>
      </c>
      <c r="N56" s="33">
        <f>SUM(O56:W56)</f>
        <v>0</v>
      </c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35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35">
        <f>Y56+N56</f>
        <v>0</v>
      </c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254"/>
    </row>
    <row r="57" spans="1:59" s="255" customFormat="1" ht="39" x14ac:dyDescent="0.3">
      <c r="A57" s="211" t="str">
        <f t="shared" si="2"/>
        <v>п</v>
      </c>
      <c r="B57" s="212" t="s">
        <v>13</v>
      </c>
      <c r="C57" s="135"/>
      <c r="D57" s="281" t="s">
        <v>169</v>
      </c>
      <c r="E57" s="256"/>
      <c r="F57" s="256"/>
      <c r="G57" s="257" t="s">
        <v>307</v>
      </c>
      <c r="H57" s="282"/>
      <c r="I57" s="283"/>
      <c r="J57" s="284">
        <f t="shared" si="3"/>
        <v>293002</v>
      </c>
      <c r="K57" s="241">
        <f>SUM(K58:K63)-K62</f>
        <v>293002</v>
      </c>
      <c r="L57" s="241">
        <f t="shared" ref="L57:M57" si="9">SUM(L58:L63)-L62</f>
        <v>0</v>
      </c>
      <c r="M57" s="241">
        <f t="shared" si="9"/>
        <v>0</v>
      </c>
      <c r="N57" s="33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35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35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254"/>
    </row>
    <row r="58" spans="1:59" s="253" customFormat="1" ht="37.5" x14ac:dyDescent="0.3">
      <c r="A58" s="211" t="str">
        <f t="shared" si="2"/>
        <v>п</v>
      </c>
      <c r="B58" s="212" t="s">
        <v>13</v>
      </c>
      <c r="C58" s="135" t="s">
        <v>14</v>
      </c>
      <c r="D58" s="243" t="s">
        <v>303</v>
      </c>
      <c r="E58" s="243" t="s">
        <v>46</v>
      </c>
      <c r="F58" s="244" t="s">
        <v>155</v>
      </c>
      <c r="G58" s="245" t="s">
        <v>166</v>
      </c>
      <c r="H58" s="285"/>
      <c r="I58" s="286"/>
      <c r="J58" s="287">
        <f t="shared" si="3"/>
        <v>91950</v>
      </c>
      <c r="K58" s="288">
        <f>94200-2250</f>
        <v>91950</v>
      </c>
      <c r="L58" s="288"/>
      <c r="M58" s="288"/>
      <c r="N58" s="33">
        <f>SUM(O58:W58)</f>
        <v>0</v>
      </c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35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35">
        <f>Y58+N58</f>
        <v>0</v>
      </c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254"/>
    </row>
    <row r="59" spans="1:59" s="253" customFormat="1" ht="37.5" x14ac:dyDescent="0.3">
      <c r="A59" s="211" t="str">
        <f>IF(J59=0,"","п")</f>
        <v>п</v>
      </c>
      <c r="B59" s="212" t="s">
        <v>13</v>
      </c>
      <c r="C59" s="135"/>
      <c r="D59" s="244" t="s">
        <v>304</v>
      </c>
      <c r="E59" s="243">
        <v>5012</v>
      </c>
      <c r="F59" s="244" t="s">
        <v>155</v>
      </c>
      <c r="G59" s="245" t="s">
        <v>123</v>
      </c>
      <c r="H59" s="290"/>
      <c r="I59" s="286"/>
      <c r="J59" s="288">
        <f>+K59+L59</f>
        <v>8600</v>
      </c>
      <c r="K59" s="288">
        <v>8600</v>
      </c>
      <c r="L59" s="289"/>
      <c r="M59" s="289"/>
      <c r="N59" s="3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35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35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254"/>
    </row>
    <row r="60" spans="1:59" s="253" customFormat="1" ht="37.5" x14ac:dyDescent="0.3">
      <c r="A60" s="211" t="str">
        <f t="shared" si="2"/>
        <v>п</v>
      </c>
      <c r="B60" s="212" t="s">
        <v>13</v>
      </c>
      <c r="C60" s="135"/>
      <c r="D60" s="243">
        <v>1015031</v>
      </c>
      <c r="E60" s="243" t="s">
        <v>47</v>
      </c>
      <c r="F60" s="244" t="s">
        <v>155</v>
      </c>
      <c r="G60" s="245" t="s">
        <v>170</v>
      </c>
      <c r="H60" s="285"/>
      <c r="I60" s="286"/>
      <c r="J60" s="287">
        <f t="shared" si="3"/>
        <v>26794</v>
      </c>
      <c r="K60" s="288">
        <v>26794</v>
      </c>
      <c r="L60" s="288"/>
      <c r="M60" s="288"/>
      <c r="N60" s="3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35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35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254"/>
    </row>
    <row r="61" spans="1:59" s="253" customFormat="1" ht="56.25" x14ac:dyDescent="0.3">
      <c r="A61" s="211" t="str">
        <f t="shared" si="2"/>
        <v>п</v>
      </c>
      <c r="B61" s="212" t="s">
        <v>13</v>
      </c>
      <c r="C61" s="135"/>
      <c r="D61" s="243" t="s">
        <v>305</v>
      </c>
      <c r="E61" s="243" t="s">
        <v>49</v>
      </c>
      <c r="F61" s="244" t="s">
        <v>155</v>
      </c>
      <c r="G61" s="245" t="s">
        <v>50</v>
      </c>
      <c r="H61" s="285"/>
      <c r="I61" s="286"/>
      <c r="J61" s="287">
        <f t="shared" si="3"/>
        <v>31658</v>
      </c>
      <c r="K61" s="288">
        <v>31658</v>
      </c>
      <c r="L61" s="288"/>
      <c r="M61" s="288"/>
      <c r="N61" s="3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35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35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254"/>
    </row>
    <row r="62" spans="1:59" s="97" customFormat="1" ht="49.5" hidden="1" customHeight="1" x14ac:dyDescent="0.3">
      <c r="A62" s="28" t="str">
        <f t="shared" si="2"/>
        <v/>
      </c>
      <c r="B62" s="132" t="s">
        <v>13</v>
      </c>
      <c r="C62" s="136"/>
      <c r="D62" s="273"/>
      <c r="E62" s="130"/>
      <c r="F62" s="274"/>
      <c r="G62" s="91" t="s">
        <v>23</v>
      </c>
      <c r="H62" s="298"/>
      <c r="I62" s="154"/>
      <c r="J62" s="174">
        <f t="shared" si="3"/>
        <v>0</v>
      </c>
      <c r="K62" s="103"/>
      <c r="L62" s="103"/>
      <c r="M62" s="103"/>
      <c r="N62" s="94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6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6"/>
      <c r="BG62" s="143"/>
    </row>
    <row r="63" spans="1:59" s="253" customFormat="1" ht="56.25" x14ac:dyDescent="0.3">
      <c r="A63" s="211" t="str">
        <f t="shared" si="2"/>
        <v>п</v>
      </c>
      <c r="B63" s="212" t="s">
        <v>13</v>
      </c>
      <c r="C63" s="135"/>
      <c r="D63" s="243" t="s">
        <v>306</v>
      </c>
      <c r="E63" s="243" t="s">
        <v>51</v>
      </c>
      <c r="F63" s="244" t="s">
        <v>155</v>
      </c>
      <c r="G63" s="245" t="s">
        <v>174</v>
      </c>
      <c r="H63" s="285"/>
      <c r="I63" s="286"/>
      <c r="J63" s="287">
        <f t="shared" si="3"/>
        <v>134000</v>
      </c>
      <c r="K63" s="288">
        <v>134000</v>
      </c>
      <c r="L63" s="288"/>
      <c r="M63" s="288"/>
      <c r="N63" s="3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35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35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254"/>
    </row>
    <row r="64" spans="1:59" s="36" customFormat="1" ht="39" customHeight="1" x14ac:dyDescent="0.25">
      <c r="A64" s="28" t="str">
        <f t="shared" si="2"/>
        <v>п</v>
      </c>
      <c r="B64" s="212" t="s">
        <v>181</v>
      </c>
      <c r="C64" s="135"/>
      <c r="D64" s="235" t="s">
        <v>30</v>
      </c>
      <c r="E64" s="235"/>
      <c r="F64" s="235"/>
      <c r="G64" s="237" t="s">
        <v>3</v>
      </c>
      <c r="H64" s="238"/>
      <c r="I64" s="239"/>
      <c r="J64" s="240">
        <f t="shared" ref="J64" si="10">+K64+L64</f>
        <v>2250</v>
      </c>
      <c r="K64" s="241">
        <f>K65</f>
        <v>2250</v>
      </c>
      <c r="L64" s="241">
        <f>+L66+L68</f>
        <v>0</v>
      </c>
      <c r="M64" s="241">
        <f>+M66+M68</f>
        <v>0</v>
      </c>
      <c r="N64" s="3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35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35"/>
      <c r="BG64" s="143"/>
    </row>
    <row r="65" spans="1:59" s="36" customFormat="1" ht="46.5" customHeight="1" x14ac:dyDescent="0.25">
      <c r="A65" s="28" t="str">
        <f t="shared" si="2"/>
        <v>п</v>
      </c>
      <c r="B65" s="212" t="s">
        <v>181</v>
      </c>
      <c r="C65" s="135" t="s">
        <v>15</v>
      </c>
      <c r="D65" s="235" t="s">
        <v>29</v>
      </c>
      <c r="E65" s="235"/>
      <c r="F65" s="235"/>
      <c r="G65" s="237" t="s">
        <v>3</v>
      </c>
      <c r="H65" s="238"/>
      <c r="I65" s="239"/>
      <c r="J65" s="240">
        <f>+K65+L65</f>
        <v>2250</v>
      </c>
      <c r="K65" s="241">
        <f>SUM(K66:K68)</f>
        <v>2250</v>
      </c>
      <c r="L65" s="241">
        <f>SUM(L66:L68)</f>
        <v>0</v>
      </c>
      <c r="M65" s="241">
        <f>SUM(M66:M68)</f>
        <v>0</v>
      </c>
      <c r="N65" s="33">
        <f>SUM(O65:W65)</f>
        <v>0</v>
      </c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35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35">
        <f>Y65+N65</f>
        <v>0</v>
      </c>
      <c r="BG65" s="143"/>
    </row>
    <row r="66" spans="1:59" s="36" customFormat="1" ht="36" customHeight="1" thickBot="1" x14ac:dyDescent="0.3">
      <c r="A66" s="28" t="str">
        <f t="shared" si="2"/>
        <v>п</v>
      </c>
      <c r="B66" s="212" t="s">
        <v>181</v>
      </c>
      <c r="C66" s="135"/>
      <c r="D66" s="243" t="s">
        <v>310</v>
      </c>
      <c r="E66" s="243" t="s">
        <v>46</v>
      </c>
      <c r="F66" s="244" t="s">
        <v>155</v>
      </c>
      <c r="G66" s="245" t="s">
        <v>166</v>
      </c>
      <c r="H66" s="285"/>
      <c r="I66" s="286"/>
      <c r="J66" s="287">
        <f t="shared" ref="J66" si="11">+K66+L66</f>
        <v>2250</v>
      </c>
      <c r="K66" s="288">
        <v>2250</v>
      </c>
      <c r="L66" s="44"/>
      <c r="M66" s="44"/>
      <c r="N66" s="33">
        <f>SUM(O66:W66)</f>
        <v>0</v>
      </c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35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35">
        <f>Y66+N66</f>
        <v>0</v>
      </c>
      <c r="BG66" s="143"/>
    </row>
    <row r="67" spans="1:59" s="36" customFormat="1" ht="30.75" hidden="1" customHeight="1" x14ac:dyDescent="0.25">
      <c r="A67" s="28" t="str">
        <f t="shared" si="2"/>
        <v/>
      </c>
      <c r="B67" s="29" t="s">
        <v>181</v>
      </c>
      <c r="C67" s="135"/>
      <c r="D67" s="267"/>
      <c r="E67" s="122"/>
      <c r="F67" s="267"/>
      <c r="G67" s="49"/>
      <c r="H67" s="290"/>
      <c r="I67" s="152"/>
      <c r="J67" s="45">
        <f t="shared" si="3"/>
        <v>0</v>
      </c>
      <c r="K67" s="45"/>
      <c r="L67" s="44"/>
      <c r="M67" s="44"/>
      <c r="N67" s="3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35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35"/>
      <c r="BG67" s="143"/>
    </row>
    <row r="68" spans="1:59" s="36" customFormat="1" ht="54" hidden="1" customHeight="1" thickBot="1" x14ac:dyDescent="0.3">
      <c r="A68" s="28" t="str">
        <f t="shared" si="2"/>
        <v/>
      </c>
      <c r="B68" s="29" t="s">
        <v>181</v>
      </c>
      <c r="C68" s="135" t="s">
        <v>16</v>
      </c>
      <c r="D68" s="312"/>
      <c r="E68" s="129"/>
      <c r="F68" s="312"/>
      <c r="G68" s="48"/>
      <c r="H68" s="311"/>
      <c r="I68" s="153"/>
      <c r="J68" s="47">
        <f t="shared" si="3"/>
        <v>0</v>
      </c>
      <c r="K68" s="47"/>
      <c r="L68" s="46"/>
      <c r="M68" s="46"/>
      <c r="N68" s="33">
        <f>SUM(O68:W68)</f>
        <v>0</v>
      </c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35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35">
        <f>Y68+N68</f>
        <v>0</v>
      </c>
      <c r="BG68" s="143"/>
    </row>
    <row r="69" spans="1:59" s="255" customFormat="1" ht="112.5" x14ac:dyDescent="0.3">
      <c r="A69" s="211" t="str">
        <f t="shared" si="2"/>
        <v>п</v>
      </c>
      <c r="B69" s="212"/>
      <c r="C69" s="29"/>
      <c r="D69" s="229"/>
      <c r="E69" s="229"/>
      <c r="F69" s="292"/>
      <c r="G69" s="229"/>
      <c r="H69" s="293" t="s">
        <v>278</v>
      </c>
      <c r="I69" s="231" t="s">
        <v>279</v>
      </c>
      <c r="J69" s="232">
        <f t="shared" si="3"/>
        <v>111254</v>
      </c>
      <c r="K69" s="233">
        <f>K70</f>
        <v>111254</v>
      </c>
      <c r="L69" s="233">
        <f>L70</f>
        <v>0</v>
      </c>
      <c r="M69" s="233">
        <f>M70</f>
        <v>0</v>
      </c>
      <c r="N69" s="33">
        <f>SUM(O69:W69)</f>
        <v>0</v>
      </c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5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5">
        <f>Y69+N69</f>
        <v>0</v>
      </c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254"/>
    </row>
    <row r="70" spans="1:59" s="295" customFormat="1" ht="39" x14ac:dyDescent="0.35">
      <c r="A70" s="211" t="str">
        <f t="shared" si="2"/>
        <v>п</v>
      </c>
      <c r="B70" s="212" t="s">
        <v>181</v>
      </c>
      <c r="C70" s="135"/>
      <c r="D70" s="235" t="s">
        <v>30</v>
      </c>
      <c r="E70" s="235"/>
      <c r="F70" s="235"/>
      <c r="G70" s="237" t="s">
        <v>3</v>
      </c>
      <c r="H70" s="238"/>
      <c r="I70" s="239"/>
      <c r="J70" s="240">
        <f t="shared" si="3"/>
        <v>111254</v>
      </c>
      <c r="K70" s="241">
        <f>K71</f>
        <v>111254</v>
      </c>
      <c r="L70" s="241">
        <f>+L72+L74</f>
        <v>0</v>
      </c>
      <c r="M70" s="241">
        <f>+M72+M74</f>
        <v>0</v>
      </c>
      <c r="N70" s="33">
        <f>SUM(O70:W70)</f>
        <v>0</v>
      </c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35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35">
        <f>Y70+N70</f>
        <v>0</v>
      </c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254"/>
    </row>
    <row r="71" spans="1:59" s="295" customFormat="1" ht="39" x14ac:dyDescent="0.35">
      <c r="A71" s="211" t="str">
        <f t="shared" si="2"/>
        <v>п</v>
      </c>
      <c r="B71" s="212" t="s">
        <v>181</v>
      </c>
      <c r="C71" s="135"/>
      <c r="D71" s="235" t="s">
        <v>29</v>
      </c>
      <c r="E71" s="235"/>
      <c r="F71" s="235"/>
      <c r="G71" s="237" t="s">
        <v>3</v>
      </c>
      <c r="H71" s="238"/>
      <c r="I71" s="239"/>
      <c r="J71" s="240">
        <f>+K71+L71</f>
        <v>111254</v>
      </c>
      <c r="K71" s="241">
        <f>SUM(K72:K74)</f>
        <v>111254</v>
      </c>
      <c r="L71" s="241">
        <f>SUM(L72:L74)</f>
        <v>0</v>
      </c>
      <c r="M71" s="241">
        <f>SUM(M72:M74)</f>
        <v>0</v>
      </c>
      <c r="N71" s="33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35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35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254"/>
    </row>
    <row r="72" spans="1:59" s="253" customFormat="1" ht="37.5" x14ac:dyDescent="0.3">
      <c r="A72" s="211" t="str">
        <f t="shared" si="2"/>
        <v>п</v>
      </c>
      <c r="B72" s="212" t="s">
        <v>181</v>
      </c>
      <c r="C72" s="135"/>
      <c r="D72" s="243" t="s">
        <v>52</v>
      </c>
      <c r="E72" s="243" t="s">
        <v>53</v>
      </c>
      <c r="F72" s="268" t="s">
        <v>163</v>
      </c>
      <c r="G72" s="245" t="s">
        <v>167</v>
      </c>
      <c r="H72" s="246"/>
      <c r="I72" s="247"/>
      <c r="J72" s="248">
        <f t="shared" si="3"/>
        <v>87532</v>
      </c>
      <c r="K72" s="249">
        <f>103754-16222</f>
        <v>87532</v>
      </c>
      <c r="L72" s="249"/>
      <c r="M72" s="249"/>
      <c r="N72" s="3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35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35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254"/>
    </row>
    <row r="73" spans="1:59" s="253" customFormat="1" ht="80.25" customHeight="1" thickBot="1" x14ac:dyDescent="0.35">
      <c r="A73" s="211" t="str">
        <f t="shared" si="2"/>
        <v>п</v>
      </c>
      <c r="B73" s="212" t="s">
        <v>181</v>
      </c>
      <c r="C73" s="135"/>
      <c r="D73" s="267" t="s">
        <v>220</v>
      </c>
      <c r="E73" s="266">
        <v>3111</v>
      </c>
      <c r="F73" s="267" t="s">
        <v>163</v>
      </c>
      <c r="G73" s="294" t="s">
        <v>302</v>
      </c>
      <c r="H73" s="285"/>
      <c r="I73" s="286"/>
      <c r="J73" s="248">
        <f t="shared" si="3"/>
        <v>23722</v>
      </c>
      <c r="K73" s="288">
        <f>7500+16222</f>
        <v>23722</v>
      </c>
      <c r="L73" s="288"/>
      <c r="M73" s="288"/>
      <c r="N73" s="3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35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35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254"/>
    </row>
    <row r="74" spans="1:59" s="36" customFormat="1" ht="19.5" hidden="1" thickBot="1" x14ac:dyDescent="0.3">
      <c r="A74" s="28" t="str">
        <f t="shared" si="2"/>
        <v/>
      </c>
      <c r="B74" s="29" t="s">
        <v>181</v>
      </c>
      <c r="C74" s="135"/>
      <c r="D74" s="320"/>
      <c r="E74" s="124"/>
      <c r="F74" s="312"/>
      <c r="G74" s="48"/>
      <c r="H74" s="321"/>
      <c r="I74" s="153"/>
      <c r="J74" s="47"/>
      <c r="K74" s="47"/>
      <c r="L74" s="47"/>
      <c r="M74" s="47"/>
      <c r="N74" s="33">
        <f>SUM(O74:W74)</f>
        <v>0</v>
      </c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35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35">
        <f>Y74+N74</f>
        <v>0</v>
      </c>
      <c r="BG74" s="143"/>
    </row>
    <row r="75" spans="1:59" s="253" customFormat="1" ht="56.25" x14ac:dyDescent="0.3">
      <c r="A75" s="211" t="str">
        <f t="shared" si="2"/>
        <v>п</v>
      </c>
      <c r="B75" s="212"/>
      <c r="C75" s="29"/>
      <c r="D75" s="227"/>
      <c r="E75" s="227"/>
      <c r="F75" s="228"/>
      <c r="G75" s="229"/>
      <c r="H75" s="230" t="s">
        <v>280</v>
      </c>
      <c r="I75" s="296" t="s">
        <v>299</v>
      </c>
      <c r="J75" s="232">
        <f>+K75+L75</f>
        <v>8679077</v>
      </c>
      <c r="K75" s="233">
        <f>+K76+K97</f>
        <v>8275528</v>
      </c>
      <c r="L75" s="234">
        <f>+L76+L97</f>
        <v>403549</v>
      </c>
      <c r="M75" s="234">
        <f>+M76+M97</f>
        <v>403549</v>
      </c>
      <c r="N75" s="33">
        <f>SUM(O75:W75)</f>
        <v>0</v>
      </c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5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5">
        <f>Y75+N75</f>
        <v>0</v>
      </c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254"/>
    </row>
    <row r="76" spans="1:59" s="255" customFormat="1" ht="39" x14ac:dyDescent="0.3">
      <c r="A76" s="211" t="str">
        <f t="shared" si="2"/>
        <v>п</v>
      </c>
      <c r="B76" s="212" t="s">
        <v>183</v>
      </c>
      <c r="C76" s="29"/>
      <c r="D76" s="235" t="s">
        <v>56</v>
      </c>
      <c r="E76" s="236"/>
      <c r="F76" s="236"/>
      <c r="G76" s="237" t="s">
        <v>2</v>
      </c>
      <c r="H76" s="238"/>
      <c r="I76" s="239"/>
      <c r="J76" s="240">
        <f>+K76+L76</f>
        <v>8679077</v>
      </c>
      <c r="K76" s="241">
        <f>K77</f>
        <v>8275528</v>
      </c>
      <c r="L76" s="241">
        <f>L77</f>
        <v>403549</v>
      </c>
      <c r="M76" s="241">
        <f>M77</f>
        <v>403549</v>
      </c>
      <c r="N76" s="33">
        <f>SUM(O76:W76)</f>
        <v>0</v>
      </c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35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35">
        <f>Y76+N76</f>
        <v>0</v>
      </c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254"/>
    </row>
    <row r="77" spans="1:59" s="255" customFormat="1" ht="39" x14ac:dyDescent="0.3">
      <c r="A77" s="211" t="str">
        <f t="shared" si="2"/>
        <v>п</v>
      </c>
      <c r="B77" s="212" t="s">
        <v>183</v>
      </c>
      <c r="C77" s="29"/>
      <c r="D77" s="235" t="s">
        <v>57</v>
      </c>
      <c r="E77" s="236"/>
      <c r="F77" s="236"/>
      <c r="G77" s="237" t="s">
        <v>2</v>
      </c>
      <c r="H77" s="238"/>
      <c r="I77" s="239"/>
      <c r="J77" s="240">
        <f>SUM(J78:J96)-J83-J84-J91-J80-J96-J87-J81-J85-J89</f>
        <v>8679077</v>
      </c>
      <c r="K77" s="241">
        <f>SUM(K78:K96)-K83-K84-K91-K80-K96-K87-K81-K85-K89</f>
        <v>8275528</v>
      </c>
      <c r="L77" s="241">
        <f>SUM(L78:L96)-L83-L84-L91-L80-L96-L87-L81-L85-L89</f>
        <v>403549</v>
      </c>
      <c r="M77" s="241">
        <f>SUM(M78:M96)-M83-M84-M91-M80-M96-M87-M81-M85-M89</f>
        <v>403549</v>
      </c>
      <c r="N77" s="33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35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35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254"/>
    </row>
    <row r="78" spans="1:59" s="36" customFormat="1" ht="54" hidden="1" x14ac:dyDescent="0.25">
      <c r="A78" s="28" t="str">
        <f t="shared" si="2"/>
        <v/>
      </c>
      <c r="B78" s="29" t="s">
        <v>183</v>
      </c>
      <c r="C78" s="29"/>
      <c r="D78" s="243" t="s">
        <v>137</v>
      </c>
      <c r="E78" s="114" t="s">
        <v>93</v>
      </c>
      <c r="F78" s="244" t="s">
        <v>94</v>
      </c>
      <c r="G78" s="38" t="s">
        <v>95</v>
      </c>
      <c r="H78" s="285"/>
      <c r="I78" s="152"/>
      <c r="J78" s="173">
        <f t="shared" ref="J78:J130" si="12">+K78+L78</f>
        <v>0</v>
      </c>
      <c r="K78" s="45"/>
      <c r="L78" s="45"/>
      <c r="M78" s="45"/>
      <c r="N78" s="33">
        <f>SUM(O78:W78)</f>
        <v>0</v>
      </c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35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35">
        <f>Y78+N78</f>
        <v>0</v>
      </c>
      <c r="BG78" s="143"/>
    </row>
    <row r="79" spans="1:59" s="253" customFormat="1" ht="18.75" x14ac:dyDescent="0.3">
      <c r="A79" s="211" t="str">
        <f>IF(J79=0,"","п")</f>
        <v>п</v>
      </c>
      <c r="B79" s="212" t="s">
        <v>183</v>
      </c>
      <c r="C79" s="29"/>
      <c r="D79" s="243" t="s">
        <v>58</v>
      </c>
      <c r="E79" s="243">
        <v>1010</v>
      </c>
      <c r="F79" s="244" t="s">
        <v>160</v>
      </c>
      <c r="G79" s="245" t="s">
        <v>59</v>
      </c>
      <c r="H79" s="285"/>
      <c r="I79" s="286"/>
      <c r="J79" s="287">
        <f>+K79+L79</f>
        <v>301184</v>
      </c>
      <c r="K79" s="288">
        <v>301184</v>
      </c>
      <c r="L79" s="288"/>
      <c r="M79" s="288"/>
      <c r="N79" s="33">
        <f>SUM(O79:W79)</f>
        <v>0</v>
      </c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35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35">
        <f>Y79+N79</f>
        <v>0</v>
      </c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254"/>
    </row>
    <row r="80" spans="1:59" s="97" customFormat="1" ht="37.5" hidden="1" x14ac:dyDescent="0.3">
      <c r="A80" s="28" t="str">
        <f t="shared" si="2"/>
        <v/>
      </c>
      <c r="B80" s="29" t="s">
        <v>183</v>
      </c>
      <c r="C80" s="132"/>
      <c r="D80" s="273"/>
      <c r="E80" s="130"/>
      <c r="F80" s="274"/>
      <c r="G80" s="98" t="s">
        <v>23</v>
      </c>
      <c r="H80" s="298"/>
      <c r="I80" s="154"/>
      <c r="J80" s="174">
        <f t="shared" si="12"/>
        <v>0</v>
      </c>
      <c r="K80" s="103"/>
      <c r="L80" s="45"/>
      <c r="M80" s="45"/>
      <c r="N80" s="94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6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6"/>
      <c r="BG80" s="143"/>
    </row>
    <row r="81" spans="1:59" s="291" customFormat="1" ht="37.5" x14ac:dyDescent="0.3">
      <c r="A81" s="211" t="str">
        <f>IF(J81=0,"","п")</f>
        <v>п</v>
      </c>
      <c r="B81" s="212" t="s">
        <v>183</v>
      </c>
      <c r="C81" s="132"/>
      <c r="D81" s="273"/>
      <c r="E81" s="273"/>
      <c r="F81" s="274"/>
      <c r="G81" s="297" t="s">
        <v>284</v>
      </c>
      <c r="H81" s="298"/>
      <c r="I81" s="299"/>
      <c r="J81" s="300">
        <f>+K81+L81</f>
        <v>301184</v>
      </c>
      <c r="K81" s="301">
        <v>301184</v>
      </c>
      <c r="L81" s="288"/>
      <c r="M81" s="288"/>
      <c r="N81" s="94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6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6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254"/>
    </row>
    <row r="82" spans="1:59" s="253" customFormat="1" ht="37.5" x14ac:dyDescent="0.3">
      <c r="A82" s="211" t="str">
        <f t="shared" si="2"/>
        <v>п</v>
      </c>
      <c r="B82" s="212" t="s">
        <v>183</v>
      </c>
      <c r="C82" s="29"/>
      <c r="D82" s="243" t="s">
        <v>286</v>
      </c>
      <c r="E82" s="243">
        <v>1021</v>
      </c>
      <c r="F82" s="244" t="s">
        <v>161</v>
      </c>
      <c r="G82" s="245" t="s">
        <v>288</v>
      </c>
      <c r="H82" s="285"/>
      <c r="I82" s="286"/>
      <c r="J82" s="287">
        <f t="shared" si="12"/>
        <v>6446979</v>
      </c>
      <c r="K82" s="288">
        <f>5748163+698816</f>
        <v>6446979</v>
      </c>
      <c r="L82" s="288"/>
      <c r="M82" s="288"/>
      <c r="N82" s="33">
        <f>SUM(O82:W82)</f>
        <v>0</v>
      </c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35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35">
        <f>Y82+N82</f>
        <v>0</v>
      </c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254"/>
    </row>
    <row r="83" spans="1:59" s="97" customFormat="1" ht="37.5" hidden="1" x14ac:dyDescent="0.3">
      <c r="A83" s="28" t="str">
        <f t="shared" si="2"/>
        <v/>
      </c>
      <c r="B83" s="29" t="s">
        <v>183</v>
      </c>
      <c r="C83" s="29"/>
      <c r="D83" s="273"/>
      <c r="E83" s="130"/>
      <c r="F83" s="274"/>
      <c r="G83" s="98" t="s">
        <v>26</v>
      </c>
      <c r="H83" s="302"/>
      <c r="I83" s="154"/>
      <c r="J83" s="103">
        <f t="shared" si="12"/>
        <v>0</v>
      </c>
      <c r="K83" s="103"/>
      <c r="L83" s="103"/>
      <c r="M83" s="103"/>
      <c r="N83" s="3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35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35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143"/>
    </row>
    <row r="84" spans="1:59" s="97" customFormat="1" ht="37.5" hidden="1" x14ac:dyDescent="0.3">
      <c r="A84" s="28" t="str">
        <f t="shared" si="2"/>
        <v/>
      </c>
      <c r="B84" s="29" t="s">
        <v>183</v>
      </c>
      <c r="C84" s="132"/>
      <c r="D84" s="273"/>
      <c r="E84" s="130"/>
      <c r="F84" s="274"/>
      <c r="G84" s="98" t="s">
        <v>23</v>
      </c>
      <c r="H84" s="298"/>
      <c r="I84" s="154"/>
      <c r="J84" s="174">
        <f t="shared" si="12"/>
        <v>0</v>
      </c>
      <c r="K84" s="194"/>
      <c r="L84" s="103"/>
      <c r="M84" s="103"/>
      <c r="N84" s="94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6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6"/>
      <c r="BG84" s="143"/>
    </row>
    <row r="85" spans="1:59" s="291" customFormat="1" ht="37.5" x14ac:dyDescent="0.3">
      <c r="A85" s="211" t="str">
        <f t="shared" si="2"/>
        <v>п</v>
      </c>
      <c r="B85" s="212" t="s">
        <v>183</v>
      </c>
      <c r="C85" s="132"/>
      <c r="D85" s="273"/>
      <c r="E85" s="273"/>
      <c r="F85" s="274"/>
      <c r="G85" s="297" t="s">
        <v>312</v>
      </c>
      <c r="H85" s="298"/>
      <c r="I85" s="299"/>
      <c r="J85" s="300">
        <f t="shared" si="12"/>
        <v>698816</v>
      </c>
      <c r="K85" s="301">
        <v>698816</v>
      </c>
      <c r="L85" s="288"/>
      <c r="M85" s="288"/>
      <c r="N85" s="94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6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6"/>
      <c r="AL85" s="97"/>
      <c r="AM85" s="97"/>
      <c r="AN85" s="97"/>
      <c r="AO85" s="97"/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254"/>
    </row>
    <row r="86" spans="1:59" s="36" customFormat="1" ht="59.25" hidden="1" customHeight="1" x14ac:dyDescent="0.25">
      <c r="A86" s="28" t="str">
        <f t="shared" si="2"/>
        <v/>
      </c>
      <c r="B86" s="29" t="s">
        <v>183</v>
      </c>
      <c r="C86" s="29"/>
      <c r="D86" s="243" t="s">
        <v>289</v>
      </c>
      <c r="E86" s="114">
        <v>1070</v>
      </c>
      <c r="F86" s="244" t="s">
        <v>125</v>
      </c>
      <c r="G86" s="38" t="s">
        <v>126</v>
      </c>
      <c r="H86" s="285"/>
      <c r="I86" s="152"/>
      <c r="J86" s="173">
        <f t="shared" si="12"/>
        <v>0</v>
      </c>
      <c r="K86" s="45"/>
      <c r="L86" s="45"/>
      <c r="M86" s="45"/>
      <c r="N86" s="3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35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35"/>
      <c r="BG86" s="143"/>
    </row>
    <row r="87" spans="1:59" s="97" customFormat="1" ht="42.75" hidden="1" customHeight="1" x14ac:dyDescent="0.3">
      <c r="A87" s="28" t="str">
        <f t="shared" ref="A87:A167" si="13">IF(J87=0,"","п")</f>
        <v/>
      </c>
      <c r="B87" s="132" t="s">
        <v>183</v>
      </c>
      <c r="C87" s="132"/>
      <c r="D87" s="273"/>
      <c r="E87" s="130"/>
      <c r="F87" s="274"/>
      <c r="G87" s="98" t="s">
        <v>23</v>
      </c>
      <c r="H87" s="298"/>
      <c r="I87" s="154"/>
      <c r="J87" s="174">
        <f t="shared" si="12"/>
        <v>0</v>
      </c>
      <c r="K87" s="103"/>
      <c r="L87" s="103"/>
      <c r="M87" s="103"/>
      <c r="N87" s="94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6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6"/>
      <c r="BG87" s="143"/>
    </row>
    <row r="88" spans="1:59" s="253" customFormat="1" ht="77.25" customHeight="1" x14ac:dyDescent="0.3">
      <c r="A88" s="211" t="str">
        <f>IF(J88=0,"","п")</f>
        <v>п</v>
      </c>
      <c r="B88" s="212" t="s">
        <v>183</v>
      </c>
      <c r="C88" s="29"/>
      <c r="D88" s="243" t="s">
        <v>293</v>
      </c>
      <c r="E88" s="243">
        <v>1200</v>
      </c>
      <c r="F88" s="244" t="s">
        <v>197</v>
      </c>
      <c r="G88" s="245" t="s">
        <v>294</v>
      </c>
      <c r="H88" s="285"/>
      <c r="I88" s="286"/>
      <c r="J88" s="287">
        <f>+K88+L88</f>
        <v>1198824</v>
      </c>
      <c r="K88" s="288">
        <v>795275</v>
      </c>
      <c r="L88" s="288">
        <v>403549</v>
      </c>
      <c r="M88" s="288">
        <v>403549</v>
      </c>
      <c r="N88" s="3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35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35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254"/>
    </row>
    <row r="89" spans="1:59" s="291" customFormat="1" ht="56.25" x14ac:dyDescent="0.3">
      <c r="A89" s="211" t="str">
        <f>IF(J89=0,"","п")</f>
        <v>п</v>
      </c>
      <c r="B89" s="212" t="s">
        <v>183</v>
      </c>
      <c r="C89" s="29"/>
      <c r="D89" s="273"/>
      <c r="E89" s="273"/>
      <c r="F89" s="274"/>
      <c r="G89" s="297" t="s">
        <v>295</v>
      </c>
      <c r="H89" s="302"/>
      <c r="I89" s="299"/>
      <c r="J89" s="301">
        <f>+K89+L89</f>
        <v>1198824</v>
      </c>
      <c r="K89" s="301">
        <v>795275</v>
      </c>
      <c r="L89" s="301">
        <v>403549</v>
      </c>
      <c r="M89" s="301">
        <v>403549</v>
      </c>
      <c r="N89" s="3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35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35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254"/>
    </row>
    <row r="90" spans="1:59" s="36" customFormat="1" ht="42" hidden="1" customHeight="1" x14ac:dyDescent="0.25">
      <c r="A90" s="28" t="str">
        <f t="shared" si="13"/>
        <v/>
      </c>
      <c r="B90" s="29" t="s">
        <v>183</v>
      </c>
      <c r="C90" s="29"/>
      <c r="D90" s="243" t="s">
        <v>291</v>
      </c>
      <c r="E90" s="114">
        <v>1151</v>
      </c>
      <c r="F90" s="244" t="s">
        <v>197</v>
      </c>
      <c r="G90" s="38" t="s">
        <v>292</v>
      </c>
      <c r="H90" s="285"/>
      <c r="I90" s="152"/>
      <c r="J90" s="173">
        <f t="shared" si="12"/>
        <v>0</v>
      </c>
      <c r="K90" s="45"/>
      <c r="L90" s="45"/>
      <c r="M90" s="45"/>
      <c r="N90" s="3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35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35"/>
      <c r="BG90" s="143"/>
    </row>
    <row r="91" spans="1:59" s="97" customFormat="1" ht="42.75" hidden="1" customHeight="1" x14ac:dyDescent="0.3">
      <c r="A91" s="28" t="str">
        <f t="shared" si="13"/>
        <v/>
      </c>
      <c r="B91" s="132" t="s">
        <v>183</v>
      </c>
      <c r="C91" s="132"/>
      <c r="D91" s="273"/>
      <c r="E91" s="130"/>
      <c r="F91" s="274"/>
      <c r="G91" s="98" t="s">
        <v>23</v>
      </c>
      <c r="H91" s="298"/>
      <c r="I91" s="154"/>
      <c r="J91" s="174">
        <f t="shared" si="12"/>
        <v>0</v>
      </c>
      <c r="K91" s="103"/>
      <c r="L91" s="103"/>
      <c r="M91" s="103"/>
      <c r="N91" s="94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6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6"/>
      <c r="BG91" s="143"/>
    </row>
    <row r="92" spans="1:59" s="253" customFormat="1" ht="24" customHeight="1" x14ac:dyDescent="0.3">
      <c r="A92" s="211" t="str">
        <f t="shared" si="13"/>
        <v>п</v>
      </c>
      <c r="B92" s="212" t="s">
        <v>183</v>
      </c>
      <c r="C92" s="29"/>
      <c r="D92" s="243" t="s">
        <v>290</v>
      </c>
      <c r="E92" s="243">
        <v>1142</v>
      </c>
      <c r="F92" s="244" t="s">
        <v>197</v>
      </c>
      <c r="G92" s="245" t="s">
        <v>198</v>
      </c>
      <c r="H92" s="285"/>
      <c r="I92" s="286"/>
      <c r="J92" s="287">
        <f t="shared" si="12"/>
        <v>16290</v>
      </c>
      <c r="K92" s="288">
        <v>16290</v>
      </c>
      <c r="L92" s="288"/>
      <c r="M92" s="288"/>
      <c r="N92" s="3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35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35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254"/>
    </row>
    <row r="93" spans="1:59" s="253" customFormat="1" ht="75" x14ac:dyDescent="0.3">
      <c r="A93" s="211" t="str">
        <f t="shared" si="13"/>
        <v>п</v>
      </c>
      <c r="B93" s="212" t="s">
        <v>183</v>
      </c>
      <c r="C93" s="29"/>
      <c r="D93" s="243" t="s">
        <v>61</v>
      </c>
      <c r="E93" s="272" t="s">
        <v>62</v>
      </c>
      <c r="F93" s="244" t="s">
        <v>163</v>
      </c>
      <c r="G93" s="245" t="s">
        <v>171</v>
      </c>
      <c r="H93" s="246"/>
      <c r="I93" s="247"/>
      <c r="J93" s="248">
        <f t="shared" si="12"/>
        <v>643800</v>
      </c>
      <c r="K93" s="249">
        <v>643800</v>
      </c>
      <c r="L93" s="250"/>
      <c r="M93" s="250"/>
      <c r="N93" s="33">
        <f>SUM(O93:W93)</f>
        <v>0</v>
      </c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35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35">
        <f>Y93+N93</f>
        <v>0</v>
      </c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254"/>
    </row>
    <row r="94" spans="1:59" s="36" customFormat="1" ht="68.25" hidden="1" customHeight="1" x14ac:dyDescent="0.25">
      <c r="A94" s="28" t="str">
        <f t="shared" si="13"/>
        <v/>
      </c>
      <c r="B94" s="29" t="s">
        <v>183</v>
      </c>
      <c r="C94" s="29"/>
      <c r="D94" s="243"/>
      <c r="E94" s="114"/>
      <c r="F94" s="244"/>
      <c r="G94" s="38"/>
      <c r="H94" s="272"/>
      <c r="I94" s="151"/>
      <c r="J94" s="41">
        <f t="shared" si="12"/>
        <v>0</v>
      </c>
      <c r="K94" s="41"/>
      <c r="L94" s="40"/>
      <c r="M94" s="40"/>
      <c r="N94" s="33">
        <f>SUM(O94:W94)</f>
        <v>0</v>
      </c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35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35">
        <f>Y94+N94</f>
        <v>0</v>
      </c>
      <c r="BG94" s="143"/>
    </row>
    <row r="95" spans="1:59" s="253" customFormat="1" ht="38.25" thickBot="1" x14ac:dyDescent="0.35">
      <c r="A95" s="211" t="str">
        <f t="shared" si="13"/>
        <v>п</v>
      </c>
      <c r="B95" s="212" t="s">
        <v>183</v>
      </c>
      <c r="C95" s="29"/>
      <c r="D95" s="243" t="s">
        <v>60</v>
      </c>
      <c r="E95" s="243" t="s">
        <v>47</v>
      </c>
      <c r="F95" s="244" t="s">
        <v>155</v>
      </c>
      <c r="G95" s="245" t="s">
        <v>170</v>
      </c>
      <c r="H95" s="246"/>
      <c r="I95" s="247"/>
      <c r="J95" s="248">
        <f t="shared" si="12"/>
        <v>72000</v>
      </c>
      <c r="K95" s="249">
        <v>72000</v>
      </c>
      <c r="L95" s="249"/>
      <c r="M95" s="249"/>
      <c r="N95" s="33">
        <f>SUM(O95:W95)</f>
        <v>0</v>
      </c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35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35">
        <f>Y95+N95</f>
        <v>0</v>
      </c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254"/>
    </row>
    <row r="96" spans="1:59" s="97" customFormat="1" ht="42.75" hidden="1" customHeight="1" x14ac:dyDescent="0.3">
      <c r="A96" s="28" t="str">
        <f t="shared" si="13"/>
        <v/>
      </c>
      <c r="B96" s="132" t="s">
        <v>183</v>
      </c>
      <c r="C96" s="132"/>
      <c r="D96" s="273"/>
      <c r="E96" s="130"/>
      <c r="F96" s="274"/>
      <c r="G96" s="98" t="s">
        <v>23</v>
      </c>
      <c r="H96" s="298"/>
      <c r="I96" s="154"/>
      <c r="J96" s="174">
        <f t="shared" si="12"/>
        <v>0</v>
      </c>
      <c r="K96" s="103"/>
      <c r="L96" s="103"/>
      <c r="M96" s="103"/>
      <c r="N96" s="94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6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6"/>
      <c r="BG96" s="143"/>
    </row>
    <row r="97" spans="1:59" s="36" customFormat="1" ht="37.5" hidden="1" customHeight="1" x14ac:dyDescent="0.25">
      <c r="A97" s="28" t="str">
        <f t="shared" si="13"/>
        <v/>
      </c>
      <c r="B97" s="29" t="s">
        <v>184</v>
      </c>
      <c r="C97" s="29"/>
      <c r="D97" s="281" t="s">
        <v>63</v>
      </c>
      <c r="E97" s="119"/>
      <c r="F97" s="256"/>
      <c r="G97" s="67" t="s">
        <v>9</v>
      </c>
      <c r="H97" s="434"/>
      <c r="I97" s="155"/>
      <c r="J97" s="105">
        <f t="shared" si="12"/>
        <v>0</v>
      </c>
      <c r="K97" s="105"/>
      <c r="L97" s="105"/>
      <c r="M97" s="105"/>
      <c r="N97" s="3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35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35"/>
      <c r="BG97" s="143"/>
    </row>
    <row r="98" spans="1:59" s="36" customFormat="1" ht="37.5" hidden="1" customHeight="1" x14ac:dyDescent="0.25">
      <c r="A98" s="28" t="str">
        <f t="shared" si="13"/>
        <v/>
      </c>
      <c r="B98" s="29" t="s">
        <v>184</v>
      </c>
      <c r="C98" s="29"/>
      <c r="D98" s="281" t="s">
        <v>64</v>
      </c>
      <c r="E98" s="119"/>
      <c r="F98" s="256"/>
      <c r="G98" s="67" t="s">
        <v>9</v>
      </c>
      <c r="H98" s="304"/>
      <c r="I98" s="156"/>
      <c r="J98" s="102">
        <f t="shared" si="12"/>
        <v>0</v>
      </c>
      <c r="K98" s="102">
        <f>+K99</f>
        <v>0</v>
      </c>
      <c r="L98" s="102">
        <f>+L99</f>
        <v>0</v>
      </c>
      <c r="M98" s="102">
        <f>+M99</f>
        <v>0</v>
      </c>
      <c r="N98" s="3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35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35"/>
      <c r="BG98" s="143"/>
    </row>
    <row r="99" spans="1:59" s="36" customFormat="1" ht="19.5" hidden="1" thickBot="1" x14ac:dyDescent="0.3">
      <c r="A99" s="28" t="str">
        <f t="shared" si="13"/>
        <v/>
      </c>
      <c r="B99" s="29" t="s">
        <v>184</v>
      </c>
      <c r="C99" s="29"/>
      <c r="D99" s="243"/>
      <c r="E99" s="114"/>
      <c r="F99" s="244"/>
      <c r="G99" s="38"/>
      <c r="H99" s="290"/>
      <c r="I99" s="152"/>
      <c r="J99" s="45">
        <f t="shared" si="12"/>
        <v>0</v>
      </c>
      <c r="K99" s="45"/>
      <c r="L99" s="45">
        <f>600000-600000</f>
        <v>0</v>
      </c>
      <c r="M99" s="45">
        <f>600000-600000</f>
        <v>0</v>
      </c>
      <c r="N99" s="3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35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35"/>
      <c r="BG99" s="143"/>
    </row>
    <row r="100" spans="1:59" s="97" customFormat="1" ht="19.5" hidden="1" thickBot="1" x14ac:dyDescent="0.35">
      <c r="A100" s="28" t="str">
        <f t="shared" si="13"/>
        <v/>
      </c>
      <c r="B100" s="132" t="s">
        <v>184</v>
      </c>
      <c r="C100" s="132"/>
      <c r="D100" s="426"/>
      <c r="E100" s="138"/>
      <c r="F100" s="452"/>
      <c r="G100" s="111"/>
      <c r="H100" s="435"/>
      <c r="I100" s="157"/>
      <c r="J100" s="112">
        <f t="shared" si="12"/>
        <v>0</v>
      </c>
      <c r="K100" s="112"/>
      <c r="L100" s="112">
        <f>600000-600000</f>
        <v>0</v>
      </c>
      <c r="M100" s="112">
        <f>600000-600000</f>
        <v>0</v>
      </c>
      <c r="N100" s="94">
        <f>SUM(O100:W100)</f>
        <v>0</v>
      </c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6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6">
        <f>Y100+N100</f>
        <v>0</v>
      </c>
      <c r="BG100" s="143"/>
    </row>
    <row r="101" spans="1:59" s="253" customFormat="1" ht="93.75" x14ac:dyDescent="0.3">
      <c r="A101" s="211" t="str">
        <f t="shared" si="13"/>
        <v>п</v>
      </c>
      <c r="B101" s="212"/>
      <c r="C101" s="29"/>
      <c r="D101" s="227"/>
      <c r="E101" s="227"/>
      <c r="F101" s="228"/>
      <c r="G101" s="229"/>
      <c r="H101" s="229" t="s">
        <v>246</v>
      </c>
      <c r="I101" s="231" t="s">
        <v>127</v>
      </c>
      <c r="J101" s="233">
        <f>+K101+L101</f>
        <v>991852</v>
      </c>
      <c r="K101" s="233">
        <f>+K102+K107+K116+K112</f>
        <v>619702</v>
      </c>
      <c r="L101" s="233">
        <f>+L102+L107+L116+L112</f>
        <v>372150</v>
      </c>
      <c r="M101" s="233">
        <f>+M102+M107+M116+M112</f>
        <v>372150</v>
      </c>
      <c r="N101" s="33">
        <f>SUM(O101:W101)</f>
        <v>0</v>
      </c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5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5">
        <f>Y101+N101</f>
        <v>0</v>
      </c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254"/>
    </row>
    <row r="102" spans="1:59" s="50" customFormat="1" ht="36" hidden="1" x14ac:dyDescent="0.25">
      <c r="A102" s="28" t="str">
        <f t="shared" si="13"/>
        <v/>
      </c>
      <c r="B102" s="29" t="s">
        <v>181</v>
      </c>
      <c r="C102" s="135"/>
      <c r="D102" s="235" t="s">
        <v>30</v>
      </c>
      <c r="E102" s="116"/>
      <c r="F102" s="235"/>
      <c r="G102" s="70" t="s">
        <v>3</v>
      </c>
      <c r="H102" s="328"/>
      <c r="I102" s="159"/>
      <c r="J102" s="71">
        <f t="shared" si="12"/>
        <v>0</v>
      </c>
      <c r="K102" s="71">
        <f>K103</f>
        <v>0</v>
      </c>
      <c r="L102" s="71">
        <f>L103</f>
        <v>0</v>
      </c>
      <c r="M102" s="71">
        <f>M103</f>
        <v>0</v>
      </c>
      <c r="N102" s="33">
        <f>SUM(O102:W102)</f>
        <v>0</v>
      </c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35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35">
        <f>Y102+N102</f>
        <v>0</v>
      </c>
      <c r="BG102" s="143"/>
    </row>
    <row r="103" spans="1:59" s="50" customFormat="1" ht="36" hidden="1" x14ac:dyDescent="0.25">
      <c r="A103" s="28" t="str">
        <f t="shared" si="13"/>
        <v/>
      </c>
      <c r="B103" s="29" t="s">
        <v>181</v>
      </c>
      <c r="C103" s="135"/>
      <c r="D103" s="235" t="s">
        <v>29</v>
      </c>
      <c r="E103" s="116"/>
      <c r="F103" s="235"/>
      <c r="G103" s="70" t="s">
        <v>3</v>
      </c>
      <c r="H103" s="304"/>
      <c r="I103" s="156"/>
      <c r="J103" s="102">
        <f t="shared" si="12"/>
        <v>0</v>
      </c>
      <c r="K103" s="102">
        <f>+K105+K106+K104</f>
        <v>0</v>
      </c>
      <c r="L103" s="102">
        <f>+L105+L106+L104</f>
        <v>0</v>
      </c>
      <c r="M103" s="102">
        <f>+M105+M106+M104</f>
        <v>0</v>
      </c>
      <c r="N103" s="33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35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35"/>
      <c r="BG103" s="143"/>
    </row>
    <row r="104" spans="1:59" s="50" customFormat="1" ht="90" hidden="1" x14ac:dyDescent="0.25">
      <c r="A104" s="28" t="str">
        <f>IF(J104=0,"","п")</f>
        <v/>
      </c>
      <c r="B104" s="29" t="s">
        <v>181</v>
      </c>
      <c r="C104" s="135"/>
      <c r="D104" s="268" t="s">
        <v>102</v>
      </c>
      <c r="E104" s="126" t="s">
        <v>103</v>
      </c>
      <c r="F104" s="267" t="s">
        <v>94</v>
      </c>
      <c r="G104" s="49" t="s">
        <v>104</v>
      </c>
      <c r="H104" s="304"/>
      <c r="I104" s="156"/>
      <c r="J104" s="45">
        <f t="shared" si="12"/>
        <v>0</v>
      </c>
      <c r="K104" s="45"/>
      <c r="L104" s="45"/>
      <c r="M104" s="45"/>
      <c r="N104" s="33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35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35"/>
      <c r="BG104" s="143"/>
    </row>
    <row r="105" spans="1:59" s="36" customFormat="1" ht="36" hidden="1" x14ac:dyDescent="0.25">
      <c r="A105" s="28" t="str">
        <f t="shared" si="13"/>
        <v/>
      </c>
      <c r="B105" s="29" t="s">
        <v>181</v>
      </c>
      <c r="C105" s="135"/>
      <c r="D105" s="266" t="s">
        <v>45</v>
      </c>
      <c r="E105" s="126" t="s">
        <v>175</v>
      </c>
      <c r="F105" s="267" t="s">
        <v>164</v>
      </c>
      <c r="G105" s="49" t="s">
        <v>173</v>
      </c>
      <c r="H105" s="290"/>
      <c r="I105" s="152"/>
      <c r="J105" s="45">
        <f t="shared" si="12"/>
        <v>0</v>
      </c>
      <c r="K105" s="45"/>
      <c r="L105" s="45"/>
      <c r="M105" s="45"/>
      <c r="N105" s="33">
        <f>SUM(O105:W105)</f>
        <v>0</v>
      </c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35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35">
        <f>Y105+N105</f>
        <v>0</v>
      </c>
      <c r="BG105" s="143"/>
    </row>
    <row r="106" spans="1:59" s="36" customFormat="1" ht="18.75" hidden="1" x14ac:dyDescent="0.25">
      <c r="A106" s="28" t="str">
        <f t="shared" si="13"/>
        <v/>
      </c>
      <c r="B106" s="29" t="s">
        <v>181</v>
      </c>
      <c r="C106" s="135"/>
      <c r="D106" s="243"/>
      <c r="E106" s="114"/>
      <c r="F106" s="244"/>
      <c r="G106" s="38"/>
      <c r="H106" s="290"/>
      <c r="I106" s="152"/>
      <c r="J106" s="45"/>
      <c r="K106" s="45"/>
      <c r="L106" s="45"/>
      <c r="M106" s="45"/>
      <c r="N106" s="3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35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35"/>
      <c r="BG106" s="143"/>
    </row>
    <row r="107" spans="1:59" s="255" customFormat="1" ht="39" x14ac:dyDescent="0.3">
      <c r="A107" s="211" t="str">
        <f t="shared" si="13"/>
        <v>п</v>
      </c>
      <c r="B107" s="212" t="s">
        <v>183</v>
      </c>
      <c r="C107" s="135"/>
      <c r="D107" s="303" t="s">
        <v>56</v>
      </c>
      <c r="E107" s="304"/>
      <c r="F107" s="305"/>
      <c r="G107" s="306" t="s">
        <v>2</v>
      </c>
      <c r="H107" s="307"/>
      <c r="I107" s="308"/>
      <c r="J107" s="309">
        <f t="shared" si="12"/>
        <v>594511</v>
      </c>
      <c r="K107" s="309">
        <f>K108</f>
        <v>420715</v>
      </c>
      <c r="L107" s="309">
        <f>L108</f>
        <v>173796</v>
      </c>
      <c r="M107" s="309">
        <f>M108</f>
        <v>173796</v>
      </c>
      <c r="N107" s="33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254"/>
    </row>
    <row r="108" spans="1:59" s="255" customFormat="1" ht="39" x14ac:dyDescent="0.3">
      <c r="A108" s="211" t="str">
        <f t="shared" si="13"/>
        <v>п</v>
      </c>
      <c r="B108" s="212" t="s">
        <v>183</v>
      </c>
      <c r="C108" s="135"/>
      <c r="D108" s="303" t="s">
        <v>57</v>
      </c>
      <c r="E108" s="304"/>
      <c r="F108" s="305"/>
      <c r="G108" s="306" t="s">
        <v>2</v>
      </c>
      <c r="H108" s="307"/>
      <c r="I108" s="308"/>
      <c r="J108" s="309">
        <f t="shared" si="12"/>
        <v>594511</v>
      </c>
      <c r="K108" s="309">
        <f>SUM(K109:K111)</f>
        <v>420715</v>
      </c>
      <c r="L108" s="309">
        <f>SUM(L109:L111)</f>
        <v>173796</v>
      </c>
      <c r="M108" s="309">
        <f>SUM(M109:M111)</f>
        <v>173796</v>
      </c>
      <c r="N108" s="33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254"/>
    </row>
    <row r="109" spans="1:59" s="36" customFormat="1" ht="29.25" hidden="1" customHeight="1" x14ac:dyDescent="0.25">
      <c r="A109" s="28" t="str">
        <f t="shared" si="13"/>
        <v/>
      </c>
      <c r="B109" s="29" t="s">
        <v>183</v>
      </c>
      <c r="C109" s="135"/>
      <c r="D109" s="266" t="s">
        <v>58</v>
      </c>
      <c r="E109" s="126">
        <v>1010</v>
      </c>
      <c r="F109" s="267" t="s">
        <v>160</v>
      </c>
      <c r="G109" s="49" t="s">
        <v>59</v>
      </c>
      <c r="H109" s="290"/>
      <c r="I109" s="152"/>
      <c r="J109" s="45">
        <f t="shared" si="12"/>
        <v>0</v>
      </c>
      <c r="K109" s="45"/>
      <c r="L109" s="45"/>
      <c r="M109" s="45"/>
      <c r="N109" s="3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35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35"/>
      <c r="BG109" s="143"/>
    </row>
    <row r="110" spans="1:59" s="253" customFormat="1" ht="37.5" x14ac:dyDescent="0.3">
      <c r="A110" s="211" t="str">
        <f t="shared" si="13"/>
        <v>п</v>
      </c>
      <c r="B110" s="212" t="s">
        <v>183</v>
      </c>
      <c r="C110" s="135"/>
      <c r="D110" s="243" t="s">
        <v>286</v>
      </c>
      <c r="E110" s="243">
        <v>1021</v>
      </c>
      <c r="F110" s="244" t="s">
        <v>161</v>
      </c>
      <c r="G110" s="271" t="s">
        <v>288</v>
      </c>
      <c r="H110" s="290"/>
      <c r="I110" s="286"/>
      <c r="J110" s="288">
        <f t="shared" ref="J110:J117" si="14">+K110+L110</f>
        <v>594511</v>
      </c>
      <c r="K110" s="288">
        <v>420715</v>
      </c>
      <c r="L110" s="288">
        <v>173796</v>
      </c>
      <c r="M110" s="288">
        <v>173796</v>
      </c>
      <c r="N110" s="3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35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35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254"/>
    </row>
    <row r="111" spans="1:59" s="36" customFormat="1" ht="18.75" hidden="1" x14ac:dyDescent="0.25">
      <c r="A111" s="28" t="str">
        <f t="shared" ref="A111:A117" si="15">IF(J111=0,"","п")</f>
        <v/>
      </c>
      <c r="B111" s="29" t="s">
        <v>183</v>
      </c>
      <c r="C111" s="135"/>
      <c r="D111" s="266"/>
      <c r="E111" s="122"/>
      <c r="F111" s="267"/>
      <c r="G111" s="49"/>
      <c r="H111" s="290"/>
      <c r="I111" s="152"/>
      <c r="J111" s="45">
        <f t="shared" si="14"/>
        <v>0</v>
      </c>
      <c r="K111" s="45"/>
      <c r="L111" s="45"/>
      <c r="M111" s="45"/>
      <c r="N111" s="3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35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35"/>
      <c r="BG111" s="143"/>
    </row>
    <row r="112" spans="1:59" s="253" customFormat="1" ht="39" x14ac:dyDescent="0.3">
      <c r="A112" s="211" t="str">
        <f t="shared" si="15"/>
        <v>п</v>
      </c>
      <c r="B112" s="212" t="s">
        <v>13</v>
      </c>
      <c r="C112" s="135"/>
      <c r="D112" s="281" t="s">
        <v>168</v>
      </c>
      <c r="E112" s="256"/>
      <c r="F112" s="256"/>
      <c r="G112" s="257" t="s">
        <v>307</v>
      </c>
      <c r="H112" s="290"/>
      <c r="I112" s="283"/>
      <c r="J112" s="309">
        <f t="shared" si="14"/>
        <v>198915</v>
      </c>
      <c r="K112" s="309">
        <f>+K113</f>
        <v>561</v>
      </c>
      <c r="L112" s="309">
        <f>+L113</f>
        <v>198354</v>
      </c>
      <c r="M112" s="309">
        <f>+M113</f>
        <v>198354</v>
      </c>
      <c r="N112" s="3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35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35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254"/>
    </row>
    <row r="113" spans="1:59" s="253" customFormat="1" ht="39" x14ac:dyDescent="0.3">
      <c r="A113" s="211" t="str">
        <f t="shared" si="15"/>
        <v>п</v>
      </c>
      <c r="B113" s="212" t="s">
        <v>13</v>
      </c>
      <c r="C113" s="135"/>
      <c r="D113" s="281" t="s">
        <v>169</v>
      </c>
      <c r="E113" s="256"/>
      <c r="F113" s="256"/>
      <c r="G113" s="257" t="s">
        <v>307</v>
      </c>
      <c r="H113" s="290"/>
      <c r="I113" s="283"/>
      <c r="J113" s="309">
        <f>SUM(J114:J115)</f>
        <v>198915</v>
      </c>
      <c r="K113" s="309">
        <f>SUM(K114:K115)</f>
        <v>561</v>
      </c>
      <c r="L113" s="309">
        <f>SUM(L114:L115)</f>
        <v>198354</v>
      </c>
      <c r="M113" s="309">
        <f>SUM(M114:M115)</f>
        <v>198354</v>
      </c>
      <c r="N113" s="3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35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35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254"/>
    </row>
    <row r="114" spans="1:59" s="253" customFormat="1" ht="37.5" x14ac:dyDescent="0.3">
      <c r="A114" s="211" t="str">
        <f t="shared" si="15"/>
        <v>п</v>
      </c>
      <c r="B114" s="212" t="s">
        <v>13</v>
      </c>
      <c r="C114" s="28" t="str">
        <f>IF(L114=0,"","п")</f>
        <v>п</v>
      </c>
      <c r="D114" s="243" t="s">
        <v>263</v>
      </c>
      <c r="E114" s="243">
        <v>4060</v>
      </c>
      <c r="F114" s="244" t="s">
        <v>265</v>
      </c>
      <c r="G114" s="245" t="s">
        <v>266</v>
      </c>
      <c r="H114" s="290"/>
      <c r="I114" s="286"/>
      <c r="J114" s="288">
        <f t="shared" si="14"/>
        <v>99015</v>
      </c>
      <c r="K114" s="288">
        <v>561</v>
      </c>
      <c r="L114" s="288">
        <v>98454</v>
      </c>
      <c r="M114" s="288">
        <v>98454</v>
      </c>
      <c r="N114" s="3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35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35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254"/>
    </row>
    <row r="115" spans="1:59" s="253" customFormat="1" ht="37.5" x14ac:dyDescent="0.3">
      <c r="A115" s="211" t="str">
        <f t="shared" si="15"/>
        <v>п</v>
      </c>
      <c r="B115" s="212" t="s">
        <v>13</v>
      </c>
      <c r="C115" s="135"/>
      <c r="D115" s="243">
        <v>1015031</v>
      </c>
      <c r="E115" s="243" t="s">
        <v>47</v>
      </c>
      <c r="F115" s="244" t="s">
        <v>155</v>
      </c>
      <c r="G115" s="245" t="s">
        <v>170</v>
      </c>
      <c r="H115" s="290"/>
      <c r="I115" s="286"/>
      <c r="J115" s="288">
        <f t="shared" si="14"/>
        <v>99900</v>
      </c>
      <c r="K115" s="288"/>
      <c r="L115" s="288">
        <v>99900</v>
      </c>
      <c r="M115" s="288">
        <v>99900</v>
      </c>
      <c r="N115" s="3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35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35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254"/>
    </row>
    <row r="116" spans="1:59" s="253" customFormat="1" ht="58.5" x14ac:dyDescent="0.3">
      <c r="A116" s="211" t="str">
        <f t="shared" si="15"/>
        <v>п</v>
      </c>
      <c r="B116" s="212" t="s">
        <v>184</v>
      </c>
      <c r="C116" s="135"/>
      <c r="D116" s="281" t="s">
        <v>63</v>
      </c>
      <c r="E116" s="256"/>
      <c r="F116" s="256"/>
      <c r="G116" s="257" t="s">
        <v>9</v>
      </c>
      <c r="H116" s="290"/>
      <c r="I116" s="286"/>
      <c r="J116" s="309">
        <f t="shared" si="14"/>
        <v>198426</v>
      </c>
      <c r="K116" s="309">
        <f>+K117</f>
        <v>198426</v>
      </c>
      <c r="L116" s="309">
        <f>+L117</f>
        <v>0</v>
      </c>
      <c r="M116" s="309">
        <f>+M117</f>
        <v>0</v>
      </c>
      <c r="N116" s="3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35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35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254"/>
    </row>
    <row r="117" spans="1:59" s="253" customFormat="1" ht="58.5" customHeight="1" x14ac:dyDescent="0.3">
      <c r="A117" s="211" t="str">
        <f t="shared" si="15"/>
        <v>п</v>
      </c>
      <c r="B117" s="212" t="s">
        <v>184</v>
      </c>
      <c r="C117" s="135"/>
      <c r="D117" s="281" t="s">
        <v>64</v>
      </c>
      <c r="E117" s="256"/>
      <c r="F117" s="256"/>
      <c r="G117" s="257" t="s">
        <v>9</v>
      </c>
      <c r="H117" s="290"/>
      <c r="I117" s="286"/>
      <c r="J117" s="309">
        <f t="shared" si="14"/>
        <v>198426</v>
      </c>
      <c r="K117" s="309">
        <f>SUM(K118:K118)</f>
        <v>198426</v>
      </c>
      <c r="L117" s="309">
        <f>SUM(L118:L118)</f>
        <v>0</v>
      </c>
      <c r="M117" s="309">
        <f>SUM(M118:M118)</f>
        <v>0</v>
      </c>
      <c r="N117" s="3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35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35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254"/>
    </row>
    <row r="118" spans="1:59" s="253" customFormat="1" ht="34.5" customHeight="1" thickBot="1" x14ac:dyDescent="0.35">
      <c r="A118" s="211" t="str">
        <f t="shared" si="13"/>
        <v>п</v>
      </c>
      <c r="B118" s="212" t="s">
        <v>184</v>
      </c>
      <c r="C118" s="135"/>
      <c r="D118" s="310">
        <v>1216030</v>
      </c>
      <c r="E118" s="311" t="s">
        <v>72</v>
      </c>
      <c r="F118" s="312" t="s">
        <v>154</v>
      </c>
      <c r="G118" s="313" t="s">
        <v>73</v>
      </c>
      <c r="H118" s="311"/>
      <c r="I118" s="314"/>
      <c r="J118" s="315">
        <f t="shared" si="12"/>
        <v>198426</v>
      </c>
      <c r="K118" s="315">
        <v>198426</v>
      </c>
      <c r="L118" s="315"/>
      <c r="M118" s="315"/>
      <c r="N118" s="3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35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35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254"/>
    </row>
    <row r="119" spans="1:59" s="255" customFormat="1" ht="72" customHeight="1" x14ac:dyDescent="0.3">
      <c r="A119" s="211" t="str">
        <f>IF(J119=0,"","п")</f>
        <v>п</v>
      </c>
      <c r="B119" s="212"/>
      <c r="C119" s="29"/>
      <c r="D119" s="229"/>
      <c r="E119" s="229"/>
      <c r="F119" s="292"/>
      <c r="G119" s="229"/>
      <c r="H119" s="230" t="s">
        <v>300</v>
      </c>
      <c r="I119" s="231" t="s">
        <v>301</v>
      </c>
      <c r="J119" s="232">
        <f>+K119+L119</f>
        <v>28000</v>
      </c>
      <c r="K119" s="233">
        <f t="shared" ref="K119:M120" si="16">+K120</f>
        <v>28000</v>
      </c>
      <c r="L119" s="233">
        <f t="shared" si="16"/>
        <v>0</v>
      </c>
      <c r="M119" s="233">
        <f t="shared" si="16"/>
        <v>0</v>
      </c>
      <c r="N119" s="33">
        <f>SUM(O119:W119)</f>
        <v>0</v>
      </c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5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5">
        <f>Y119+N119</f>
        <v>0</v>
      </c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254"/>
    </row>
    <row r="120" spans="1:59" s="255" customFormat="1" ht="39" x14ac:dyDescent="0.3">
      <c r="A120" s="211" t="str">
        <f>IF(J120=0,"","п")</f>
        <v>п</v>
      </c>
      <c r="B120" s="212" t="s">
        <v>181</v>
      </c>
      <c r="C120" s="29"/>
      <c r="D120" s="235" t="s">
        <v>30</v>
      </c>
      <c r="E120" s="235"/>
      <c r="F120" s="235"/>
      <c r="G120" s="237" t="s">
        <v>3</v>
      </c>
      <c r="H120" s="258"/>
      <c r="I120" s="259"/>
      <c r="J120" s="260">
        <f>+K120+L120</f>
        <v>28000</v>
      </c>
      <c r="K120" s="261">
        <f t="shared" si="16"/>
        <v>28000</v>
      </c>
      <c r="L120" s="261">
        <f t="shared" si="16"/>
        <v>0</v>
      </c>
      <c r="M120" s="261">
        <f t="shared" si="16"/>
        <v>0</v>
      </c>
      <c r="N120" s="33">
        <f>SUM(O120:W120)</f>
        <v>0</v>
      </c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35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35">
        <f>Y120+N120</f>
        <v>0</v>
      </c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254"/>
    </row>
    <row r="121" spans="1:59" s="255" customFormat="1" ht="39" x14ac:dyDescent="0.3">
      <c r="A121" s="211" t="str">
        <f>IF(J121=0,"","п")</f>
        <v>п</v>
      </c>
      <c r="B121" s="212" t="s">
        <v>181</v>
      </c>
      <c r="C121" s="29"/>
      <c r="D121" s="235" t="s">
        <v>29</v>
      </c>
      <c r="E121" s="235"/>
      <c r="F121" s="235"/>
      <c r="G121" s="237" t="s">
        <v>3</v>
      </c>
      <c r="H121" s="316"/>
      <c r="I121" s="317"/>
      <c r="J121" s="318">
        <f>+K121+L121</f>
        <v>28000</v>
      </c>
      <c r="K121" s="319">
        <f>SUM(K122:K122)</f>
        <v>28000</v>
      </c>
      <c r="L121" s="319">
        <f>SUM(L122:L122)</f>
        <v>0</v>
      </c>
      <c r="M121" s="319">
        <f>SUM(M122:M122)</f>
        <v>0</v>
      </c>
      <c r="N121" s="33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35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35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254"/>
    </row>
    <row r="122" spans="1:59" s="253" customFormat="1" ht="38.25" thickBot="1" x14ac:dyDescent="0.35">
      <c r="A122" s="211" t="str">
        <f>IF(J122=0,"","п")</f>
        <v>п</v>
      </c>
      <c r="B122" s="212" t="s">
        <v>181</v>
      </c>
      <c r="C122" s="135"/>
      <c r="D122" s="320" t="s">
        <v>54</v>
      </c>
      <c r="E122" s="312" t="s">
        <v>55</v>
      </c>
      <c r="F122" s="312" t="s">
        <v>163</v>
      </c>
      <c r="G122" s="313" t="s">
        <v>285</v>
      </c>
      <c r="H122" s="321"/>
      <c r="I122" s="314"/>
      <c r="J122" s="315">
        <f>+K122+L122</f>
        <v>28000</v>
      </c>
      <c r="K122" s="315">
        <v>28000</v>
      </c>
      <c r="L122" s="315"/>
      <c r="M122" s="315"/>
      <c r="N122" s="33">
        <f>SUM(O122:W122)</f>
        <v>0</v>
      </c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35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35">
        <f>Y122+N122</f>
        <v>0</v>
      </c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254"/>
    </row>
    <row r="123" spans="1:59" s="255" customFormat="1" ht="62.25" customHeight="1" x14ac:dyDescent="0.3">
      <c r="A123" s="211" t="str">
        <f t="shared" si="13"/>
        <v>п</v>
      </c>
      <c r="B123" s="212"/>
      <c r="C123" s="29"/>
      <c r="D123" s="229"/>
      <c r="E123" s="229"/>
      <c r="F123" s="292"/>
      <c r="G123" s="229"/>
      <c r="H123" s="230" t="s">
        <v>273</v>
      </c>
      <c r="I123" s="231" t="s">
        <v>274</v>
      </c>
      <c r="J123" s="232">
        <f t="shared" si="12"/>
        <v>15461</v>
      </c>
      <c r="K123" s="233">
        <f t="shared" ref="K123:M124" si="17">+K124</f>
        <v>15461</v>
      </c>
      <c r="L123" s="233">
        <f t="shared" si="17"/>
        <v>0</v>
      </c>
      <c r="M123" s="233">
        <f t="shared" si="17"/>
        <v>0</v>
      </c>
      <c r="N123" s="33">
        <f>SUM(O123:W123)</f>
        <v>0</v>
      </c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5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5">
        <f>Y123+N123</f>
        <v>0</v>
      </c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254"/>
    </row>
    <row r="124" spans="1:59" s="255" customFormat="1" ht="39" x14ac:dyDescent="0.3">
      <c r="A124" s="211" t="str">
        <f t="shared" si="13"/>
        <v>п</v>
      </c>
      <c r="B124" s="212" t="s">
        <v>13</v>
      </c>
      <c r="C124" s="29"/>
      <c r="D124" s="281" t="s">
        <v>168</v>
      </c>
      <c r="E124" s="256"/>
      <c r="F124" s="256"/>
      <c r="G124" s="257" t="s">
        <v>307</v>
      </c>
      <c r="H124" s="258"/>
      <c r="I124" s="259"/>
      <c r="J124" s="260">
        <f t="shared" si="12"/>
        <v>15461</v>
      </c>
      <c r="K124" s="261">
        <f t="shared" si="17"/>
        <v>15461</v>
      </c>
      <c r="L124" s="261">
        <f t="shared" si="17"/>
        <v>0</v>
      </c>
      <c r="M124" s="261">
        <f t="shared" si="17"/>
        <v>0</v>
      </c>
      <c r="N124" s="33">
        <f>SUM(O124:W124)</f>
        <v>0</v>
      </c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35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35">
        <f>Y124+N124</f>
        <v>0</v>
      </c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254"/>
    </row>
    <row r="125" spans="1:59" s="255" customFormat="1" ht="39" x14ac:dyDescent="0.3">
      <c r="A125" s="211" t="str">
        <f t="shared" si="13"/>
        <v>п</v>
      </c>
      <c r="B125" s="212" t="s">
        <v>13</v>
      </c>
      <c r="C125" s="29"/>
      <c r="D125" s="281" t="s">
        <v>169</v>
      </c>
      <c r="E125" s="256"/>
      <c r="F125" s="256"/>
      <c r="G125" s="257" t="s">
        <v>307</v>
      </c>
      <c r="H125" s="316"/>
      <c r="I125" s="317"/>
      <c r="J125" s="318">
        <f t="shared" si="12"/>
        <v>15461</v>
      </c>
      <c r="K125" s="319">
        <f>SUM(K126:K126)</f>
        <v>15461</v>
      </c>
      <c r="L125" s="319">
        <f>SUM(L126:L126)</f>
        <v>0</v>
      </c>
      <c r="M125" s="319">
        <f>SUM(M126:M126)</f>
        <v>0</v>
      </c>
      <c r="N125" s="33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35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35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254"/>
    </row>
    <row r="126" spans="1:59" s="253" customFormat="1" ht="19.5" thickBot="1" x14ac:dyDescent="0.35">
      <c r="A126" s="211" t="str">
        <f t="shared" si="13"/>
        <v>п</v>
      </c>
      <c r="B126" s="212" t="s">
        <v>13</v>
      </c>
      <c r="C126" s="29"/>
      <c r="D126" s="243" t="s">
        <v>200</v>
      </c>
      <c r="E126" s="243" t="s">
        <v>199</v>
      </c>
      <c r="F126" s="244" t="s">
        <v>28</v>
      </c>
      <c r="G126" s="245" t="s">
        <v>201</v>
      </c>
      <c r="H126" s="285"/>
      <c r="I126" s="286"/>
      <c r="J126" s="287">
        <f t="shared" si="12"/>
        <v>15461</v>
      </c>
      <c r="K126" s="288">
        <v>15461</v>
      </c>
      <c r="L126" s="289"/>
      <c r="M126" s="289"/>
      <c r="N126" s="33">
        <f>SUM(O126:W126)</f>
        <v>0</v>
      </c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35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35">
        <f>Y126+N126</f>
        <v>0</v>
      </c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254"/>
    </row>
    <row r="127" spans="1:59" s="36" customFormat="1" ht="57" hidden="1" thickBot="1" x14ac:dyDescent="0.3">
      <c r="A127" s="28" t="str">
        <f t="shared" si="13"/>
        <v/>
      </c>
      <c r="B127" s="29"/>
      <c r="C127" s="29"/>
      <c r="D127" s="227"/>
      <c r="E127" s="134"/>
      <c r="F127" s="228"/>
      <c r="G127" s="30"/>
      <c r="H127" s="229" t="s">
        <v>237</v>
      </c>
      <c r="I127" s="158" t="s">
        <v>238</v>
      </c>
      <c r="J127" s="32">
        <f t="shared" si="12"/>
        <v>0</v>
      </c>
      <c r="K127" s="32">
        <f>+K128</f>
        <v>0</v>
      </c>
      <c r="L127" s="32">
        <f>+L128</f>
        <v>0</v>
      </c>
      <c r="M127" s="32">
        <f>+M128</f>
        <v>0</v>
      </c>
      <c r="N127" s="33">
        <f>SUM(O127:W127)</f>
        <v>0</v>
      </c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5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5">
        <f>Y127+N127</f>
        <v>0</v>
      </c>
      <c r="BG127" s="143"/>
    </row>
    <row r="128" spans="1:59" s="50" customFormat="1" ht="36.75" hidden="1" thickBot="1" x14ac:dyDescent="0.3">
      <c r="A128" s="28" t="str">
        <f t="shared" si="13"/>
        <v/>
      </c>
      <c r="B128" s="29" t="s">
        <v>181</v>
      </c>
      <c r="C128" s="29"/>
      <c r="D128" s="235" t="s">
        <v>30</v>
      </c>
      <c r="E128" s="116"/>
      <c r="F128" s="235"/>
      <c r="G128" s="70" t="s">
        <v>3</v>
      </c>
      <c r="H128" s="436"/>
      <c r="I128" s="160"/>
      <c r="J128" s="53">
        <f t="shared" si="12"/>
        <v>0</v>
      </c>
      <c r="K128" s="68">
        <f>SUM(K130)</f>
        <v>0</v>
      </c>
      <c r="L128" s="68">
        <f>SUM(L130)</f>
        <v>0</v>
      </c>
      <c r="M128" s="68">
        <f>SUM(M130)</f>
        <v>0</v>
      </c>
      <c r="N128" s="33">
        <f>SUM(O128:W128)</f>
        <v>0</v>
      </c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35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35">
        <f>Y128+N128</f>
        <v>0</v>
      </c>
      <c r="BG128" s="143"/>
    </row>
    <row r="129" spans="1:59" s="50" customFormat="1" ht="36.75" hidden="1" thickBot="1" x14ac:dyDescent="0.3">
      <c r="A129" s="28" t="str">
        <f t="shared" si="13"/>
        <v/>
      </c>
      <c r="B129" s="29" t="s">
        <v>181</v>
      </c>
      <c r="C129" s="29"/>
      <c r="D129" s="235" t="s">
        <v>29</v>
      </c>
      <c r="E129" s="116"/>
      <c r="F129" s="235"/>
      <c r="G129" s="70" t="s">
        <v>3</v>
      </c>
      <c r="H129" s="307"/>
      <c r="I129" s="161"/>
      <c r="J129" s="188">
        <f t="shared" si="12"/>
        <v>0</v>
      </c>
      <c r="K129" s="105">
        <f>+K130</f>
        <v>0</v>
      </c>
      <c r="L129" s="105">
        <f>+L130</f>
        <v>0</v>
      </c>
      <c r="M129" s="105">
        <f>+M130</f>
        <v>0</v>
      </c>
      <c r="N129" s="33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35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35"/>
      <c r="BG129" s="143"/>
    </row>
    <row r="130" spans="1:59" s="36" customFormat="1" ht="94.5" hidden="1" customHeight="1" thickBot="1" x14ac:dyDescent="0.3">
      <c r="A130" s="28" t="str">
        <f t="shared" si="13"/>
        <v/>
      </c>
      <c r="B130" s="29" t="s">
        <v>181</v>
      </c>
      <c r="C130" s="29"/>
      <c r="D130" s="268" t="s">
        <v>102</v>
      </c>
      <c r="E130" s="126" t="s">
        <v>103</v>
      </c>
      <c r="F130" s="267" t="s">
        <v>94</v>
      </c>
      <c r="G130" s="49" t="s">
        <v>104</v>
      </c>
      <c r="H130" s="311"/>
      <c r="I130" s="153"/>
      <c r="J130" s="47">
        <f t="shared" si="12"/>
        <v>0</v>
      </c>
      <c r="K130" s="47"/>
      <c r="L130" s="47"/>
      <c r="M130" s="47"/>
      <c r="N130" s="33">
        <f>SUM(O130:W130)</f>
        <v>0</v>
      </c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35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35">
        <f>Y130+N130</f>
        <v>0</v>
      </c>
      <c r="BG130" s="143"/>
    </row>
    <row r="131" spans="1:59" s="36" customFormat="1" ht="130.5" hidden="1" customHeight="1" x14ac:dyDescent="0.25">
      <c r="A131" s="28" t="str">
        <f t="shared" si="13"/>
        <v/>
      </c>
      <c r="B131" s="29"/>
      <c r="C131" s="29"/>
      <c r="D131" s="227"/>
      <c r="E131" s="134"/>
      <c r="F131" s="228"/>
      <c r="G131" s="30"/>
      <c r="H131" s="229" t="s">
        <v>27</v>
      </c>
      <c r="I131" s="158" t="s">
        <v>239</v>
      </c>
      <c r="J131" s="32">
        <f>+K131+L131</f>
        <v>0</v>
      </c>
      <c r="K131" s="32">
        <f>+K132</f>
        <v>0</v>
      </c>
      <c r="L131" s="51"/>
      <c r="M131" s="51"/>
      <c r="N131" s="33">
        <f>SUM(O131:W131)</f>
        <v>0</v>
      </c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5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5">
        <f>Y131+N131</f>
        <v>0</v>
      </c>
      <c r="BG131" s="143"/>
    </row>
    <row r="132" spans="1:59" s="50" customFormat="1" ht="36.75" hidden="1" thickBot="1" x14ac:dyDescent="0.3">
      <c r="A132" s="28" t="str">
        <f t="shared" si="13"/>
        <v/>
      </c>
      <c r="B132" s="29" t="s">
        <v>181</v>
      </c>
      <c r="C132" s="29"/>
      <c r="D132" s="235" t="s">
        <v>30</v>
      </c>
      <c r="E132" s="116"/>
      <c r="F132" s="235"/>
      <c r="G132" s="70" t="s">
        <v>3</v>
      </c>
      <c r="H132" s="436"/>
      <c r="I132" s="160"/>
      <c r="J132" s="53">
        <f>+K132+L132</f>
        <v>0</v>
      </c>
      <c r="K132" s="68">
        <f>SUM(K134)</f>
        <v>0</v>
      </c>
      <c r="L132" s="75"/>
      <c r="M132" s="75"/>
      <c r="N132" s="33">
        <f>SUM(O132:W132)</f>
        <v>0</v>
      </c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35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35">
        <f>Y132+N132</f>
        <v>0</v>
      </c>
      <c r="BG132" s="143"/>
    </row>
    <row r="133" spans="1:59" s="50" customFormat="1" ht="36.75" hidden="1" thickBot="1" x14ac:dyDescent="0.3">
      <c r="A133" s="28" t="str">
        <f t="shared" si="13"/>
        <v/>
      </c>
      <c r="B133" s="29" t="s">
        <v>181</v>
      </c>
      <c r="C133" s="29"/>
      <c r="D133" s="235" t="s">
        <v>29</v>
      </c>
      <c r="E133" s="116"/>
      <c r="F133" s="235"/>
      <c r="G133" s="70" t="s">
        <v>3</v>
      </c>
      <c r="H133" s="307"/>
      <c r="I133" s="161"/>
      <c r="J133" s="188">
        <f>+K133+L133</f>
        <v>0</v>
      </c>
      <c r="K133" s="105">
        <f>+K134</f>
        <v>0</v>
      </c>
      <c r="L133" s="106"/>
      <c r="M133" s="106"/>
      <c r="N133" s="33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35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35"/>
      <c r="BG133" s="143"/>
    </row>
    <row r="134" spans="1:59" s="36" customFormat="1" ht="54.75" hidden="1" thickBot="1" x14ac:dyDescent="0.3">
      <c r="A134" s="28" t="str">
        <f t="shared" si="13"/>
        <v/>
      </c>
      <c r="B134" s="29" t="s">
        <v>181</v>
      </c>
      <c r="C134" s="135"/>
      <c r="D134" s="268" t="s">
        <v>99</v>
      </c>
      <c r="E134" s="114">
        <v>9800</v>
      </c>
      <c r="F134" s="244" t="s">
        <v>159</v>
      </c>
      <c r="G134" s="38" t="s">
        <v>101</v>
      </c>
      <c r="H134" s="272"/>
      <c r="I134" s="151"/>
      <c r="J134" s="47">
        <f>+K134+L134</f>
        <v>0</v>
      </c>
      <c r="K134" s="47"/>
      <c r="L134" s="47"/>
      <c r="M134" s="47"/>
      <c r="N134" s="33">
        <f>SUM(O134:W134)</f>
        <v>0</v>
      </c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35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35">
        <f>Y134+N134</f>
        <v>0</v>
      </c>
      <c r="BG134" s="143"/>
    </row>
    <row r="135" spans="1:59" s="36" customFormat="1" ht="60" hidden="1" customHeight="1" x14ac:dyDescent="0.25">
      <c r="A135" s="28" t="str">
        <f t="shared" si="13"/>
        <v/>
      </c>
      <c r="B135" s="29"/>
      <c r="C135" s="29"/>
      <c r="D135" s="227"/>
      <c r="E135" s="134"/>
      <c r="F135" s="228"/>
      <c r="G135" s="30"/>
      <c r="H135" s="229" t="s">
        <v>180</v>
      </c>
      <c r="I135" s="158" t="s">
        <v>222</v>
      </c>
      <c r="J135" s="32">
        <f t="shared" ref="J135:J166" si="18">+K135+L135</f>
        <v>0</v>
      </c>
      <c r="K135" s="32">
        <f>K139+K136</f>
        <v>0</v>
      </c>
      <c r="L135" s="32">
        <f>L139+L136</f>
        <v>0</v>
      </c>
      <c r="M135" s="32">
        <f>M139+M136</f>
        <v>0</v>
      </c>
      <c r="N135" s="33">
        <f>SUM(O135:W135)</f>
        <v>0</v>
      </c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5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5">
        <f>Y135+N135</f>
        <v>0</v>
      </c>
      <c r="BG135" s="143"/>
    </row>
    <row r="136" spans="1:59" s="36" customFormat="1" ht="51.75" hidden="1" customHeight="1" x14ac:dyDescent="0.25">
      <c r="A136" s="28" t="str">
        <f t="shared" si="13"/>
        <v/>
      </c>
      <c r="B136" s="29" t="s">
        <v>181</v>
      </c>
      <c r="C136" s="29"/>
      <c r="D136" s="235" t="s">
        <v>30</v>
      </c>
      <c r="E136" s="117"/>
      <c r="F136" s="236"/>
      <c r="G136" s="70" t="s">
        <v>3</v>
      </c>
      <c r="H136" s="337"/>
      <c r="I136" s="160"/>
      <c r="J136" s="53">
        <f t="shared" si="18"/>
        <v>0</v>
      </c>
      <c r="K136" s="53">
        <f t="shared" ref="K136:M137" si="19">K137</f>
        <v>0</v>
      </c>
      <c r="L136" s="53">
        <f t="shared" si="19"/>
        <v>0</v>
      </c>
      <c r="M136" s="53">
        <f t="shared" si="19"/>
        <v>0</v>
      </c>
      <c r="N136" s="33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5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5"/>
      <c r="BG136" s="143"/>
    </row>
    <row r="137" spans="1:59" s="36" customFormat="1" ht="45.75" hidden="1" customHeight="1" x14ac:dyDescent="0.25">
      <c r="A137" s="28" t="str">
        <f t="shared" si="13"/>
        <v/>
      </c>
      <c r="B137" s="29" t="s">
        <v>181</v>
      </c>
      <c r="C137" s="29"/>
      <c r="D137" s="235" t="s">
        <v>29</v>
      </c>
      <c r="E137" s="117"/>
      <c r="F137" s="236"/>
      <c r="G137" s="70" t="s">
        <v>3</v>
      </c>
      <c r="H137" s="337"/>
      <c r="I137" s="160"/>
      <c r="J137" s="53">
        <f t="shared" si="18"/>
        <v>0</v>
      </c>
      <c r="K137" s="53">
        <f t="shared" si="19"/>
        <v>0</v>
      </c>
      <c r="L137" s="53">
        <f t="shared" si="19"/>
        <v>0</v>
      </c>
      <c r="M137" s="53">
        <f t="shared" si="19"/>
        <v>0</v>
      </c>
      <c r="N137" s="33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5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5"/>
      <c r="BG137" s="143"/>
    </row>
    <row r="138" spans="1:59" s="36" customFormat="1" ht="42.75" hidden="1" customHeight="1" x14ac:dyDescent="0.25">
      <c r="A138" s="28" t="str">
        <f t="shared" si="13"/>
        <v/>
      </c>
      <c r="B138" s="29" t="s">
        <v>181</v>
      </c>
      <c r="C138" s="29"/>
      <c r="D138" s="243" t="s">
        <v>189</v>
      </c>
      <c r="E138" s="114" t="s">
        <v>190</v>
      </c>
      <c r="F138" s="244" t="s">
        <v>162</v>
      </c>
      <c r="G138" s="38" t="s">
        <v>87</v>
      </c>
      <c r="H138" s="337"/>
      <c r="I138" s="160"/>
      <c r="J138" s="56">
        <f t="shared" si="18"/>
        <v>0</v>
      </c>
      <c r="K138" s="56"/>
      <c r="L138" s="56"/>
      <c r="M138" s="53"/>
      <c r="N138" s="33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5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5"/>
      <c r="BG138" s="143"/>
    </row>
    <row r="139" spans="1:59" s="50" customFormat="1" ht="72.75" hidden="1" thickBot="1" x14ac:dyDescent="0.3">
      <c r="A139" s="28" t="str">
        <f t="shared" si="13"/>
        <v/>
      </c>
      <c r="B139" s="29" t="s">
        <v>184</v>
      </c>
      <c r="C139" s="29"/>
      <c r="D139" s="281" t="s">
        <v>63</v>
      </c>
      <c r="E139" s="119"/>
      <c r="F139" s="256"/>
      <c r="G139" s="67" t="s">
        <v>9</v>
      </c>
      <c r="H139" s="436"/>
      <c r="I139" s="160"/>
      <c r="J139" s="53">
        <f t="shared" si="18"/>
        <v>0</v>
      </c>
      <c r="K139" s="68">
        <f>+K140</f>
        <v>0</v>
      </c>
      <c r="L139" s="75">
        <f>L140</f>
        <v>0</v>
      </c>
      <c r="M139" s="75">
        <f>+M140</f>
        <v>0</v>
      </c>
      <c r="N139" s="33">
        <f>N140</f>
        <v>0</v>
      </c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35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35">
        <f>Y139+N139</f>
        <v>0</v>
      </c>
      <c r="BG139" s="143"/>
    </row>
    <row r="140" spans="1:59" s="50" customFormat="1" ht="72.75" hidden="1" thickBot="1" x14ac:dyDescent="0.3">
      <c r="A140" s="28" t="str">
        <f t="shared" si="13"/>
        <v/>
      </c>
      <c r="B140" s="29" t="s">
        <v>184</v>
      </c>
      <c r="C140" s="29"/>
      <c r="D140" s="281" t="s">
        <v>64</v>
      </c>
      <c r="E140" s="119"/>
      <c r="F140" s="256"/>
      <c r="G140" s="67" t="s">
        <v>9</v>
      </c>
      <c r="H140" s="307"/>
      <c r="I140" s="161"/>
      <c r="J140" s="188">
        <f>+J141+J144+J142</f>
        <v>0</v>
      </c>
      <c r="K140" s="105">
        <f>SUM(K141:K144)</f>
        <v>0</v>
      </c>
      <c r="L140" s="105">
        <f>SUM(L141:L144)</f>
        <v>0</v>
      </c>
      <c r="M140" s="105">
        <f>SUM(M141:M144)</f>
        <v>0</v>
      </c>
      <c r="N140" s="33">
        <f>N141</f>
        <v>0</v>
      </c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35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35"/>
      <c r="BG140" s="143"/>
    </row>
    <row r="141" spans="1:59" s="36" customFormat="1" ht="26.25" hidden="1" customHeight="1" x14ac:dyDescent="0.25">
      <c r="A141" s="28" t="str">
        <f t="shared" si="13"/>
        <v/>
      </c>
      <c r="B141" s="29" t="s">
        <v>184</v>
      </c>
      <c r="C141" s="29"/>
      <c r="D141" s="266">
        <v>1217321</v>
      </c>
      <c r="E141" s="126">
        <v>7321</v>
      </c>
      <c r="F141" s="267" t="s">
        <v>157</v>
      </c>
      <c r="G141" s="49" t="s">
        <v>188</v>
      </c>
      <c r="H141" s="290"/>
      <c r="I141" s="152"/>
      <c r="J141" s="45">
        <f t="shared" si="18"/>
        <v>0</v>
      </c>
      <c r="K141" s="45"/>
      <c r="L141" s="45"/>
      <c r="M141" s="45"/>
      <c r="N141" s="33">
        <f>SUM(O141:W141)</f>
        <v>0</v>
      </c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35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35">
        <f>Y141+N141</f>
        <v>0</v>
      </c>
      <c r="BG141" s="143"/>
    </row>
    <row r="142" spans="1:59" s="36" customFormat="1" ht="39.75" hidden="1" customHeight="1" x14ac:dyDescent="0.25">
      <c r="A142" s="28" t="str">
        <f>IF(J142=0,"","п")</f>
        <v/>
      </c>
      <c r="B142" s="29" t="s">
        <v>184</v>
      </c>
      <c r="C142" s="29"/>
      <c r="D142" s="243">
        <v>1216011</v>
      </c>
      <c r="E142" s="125" t="s">
        <v>207</v>
      </c>
      <c r="F142" s="244" t="s">
        <v>133</v>
      </c>
      <c r="G142" s="38" t="s">
        <v>208</v>
      </c>
      <c r="H142" s="290"/>
      <c r="I142" s="152"/>
      <c r="J142" s="45">
        <f t="shared" si="18"/>
        <v>0</v>
      </c>
      <c r="K142" s="45"/>
      <c r="L142" s="45"/>
      <c r="M142" s="45"/>
      <c r="N142" s="3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35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35"/>
      <c r="BG142" s="143"/>
    </row>
    <row r="143" spans="1:59" s="36" customFormat="1" ht="36.75" hidden="1" thickBot="1" x14ac:dyDescent="0.3">
      <c r="A143" s="28" t="str">
        <f>IF(J143=0,"","п")</f>
        <v/>
      </c>
      <c r="B143" s="29" t="s">
        <v>184</v>
      </c>
      <c r="C143" s="29"/>
      <c r="D143" s="243">
        <v>1217310</v>
      </c>
      <c r="E143" s="125">
        <v>7310</v>
      </c>
      <c r="F143" s="244" t="s">
        <v>157</v>
      </c>
      <c r="G143" s="206" t="s">
        <v>85</v>
      </c>
      <c r="H143" s="272"/>
      <c r="I143" s="151"/>
      <c r="J143" s="41">
        <f>+K143+L143</f>
        <v>0</v>
      </c>
      <c r="K143" s="41"/>
      <c r="L143" s="41"/>
      <c r="M143" s="41"/>
      <c r="N143" s="3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35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35"/>
      <c r="BG143" s="143"/>
    </row>
    <row r="144" spans="1:59" s="36" customFormat="1" ht="19.5" hidden="1" thickBot="1" x14ac:dyDescent="0.3">
      <c r="A144" s="28" t="str">
        <f t="shared" si="13"/>
        <v/>
      </c>
      <c r="B144" s="29" t="s">
        <v>184</v>
      </c>
      <c r="C144" s="29"/>
      <c r="D144" s="332" t="s">
        <v>141</v>
      </c>
      <c r="E144" s="131" t="s">
        <v>142</v>
      </c>
      <c r="F144" s="336" t="s">
        <v>157</v>
      </c>
      <c r="G144" s="198" t="s">
        <v>143</v>
      </c>
      <c r="H144" s="322"/>
      <c r="I144" s="163"/>
      <c r="J144" s="176">
        <f>+K144+L144</f>
        <v>0</v>
      </c>
      <c r="K144" s="56"/>
      <c r="L144" s="201"/>
      <c r="M144" s="201"/>
      <c r="N144" s="3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35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35"/>
      <c r="BG144" s="143"/>
    </row>
    <row r="145" spans="1:59" s="253" customFormat="1" ht="61.5" customHeight="1" x14ac:dyDescent="0.3">
      <c r="A145" s="211" t="str">
        <f t="shared" si="13"/>
        <v>п</v>
      </c>
      <c r="B145" s="212"/>
      <c r="C145" s="29"/>
      <c r="D145" s="227"/>
      <c r="E145" s="227"/>
      <c r="F145" s="228"/>
      <c r="G145" s="229"/>
      <c r="H145" s="230" t="s">
        <v>281</v>
      </c>
      <c r="I145" s="231" t="s">
        <v>282</v>
      </c>
      <c r="J145" s="232">
        <f t="shared" si="18"/>
        <v>28100955.25</v>
      </c>
      <c r="K145" s="233">
        <f>+K146+K167+K170</f>
        <v>24857819</v>
      </c>
      <c r="L145" s="234">
        <f>+L146+L167+L170</f>
        <v>3243136.25</v>
      </c>
      <c r="M145" s="234">
        <f>+M146+M167+M170</f>
        <v>3123136.25</v>
      </c>
      <c r="N145" s="33">
        <f>SUM(O145:W145)</f>
        <v>0</v>
      </c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5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5">
        <f>Y145+N145</f>
        <v>0</v>
      </c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254"/>
    </row>
    <row r="146" spans="1:59" s="255" customFormat="1" ht="58.5" x14ac:dyDescent="0.3">
      <c r="A146" s="211" t="str">
        <f t="shared" si="13"/>
        <v>п</v>
      </c>
      <c r="B146" s="212" t="s">
        <v>184</v>
      </c>
      <c r="C146" s="29"/>
      <c r="D146" s="281" t="s">
        <v>63</v>
      </c>
      <c r="E146" s="256"/>
      <c r="F146" s="256"/>
      <c r="G146" s="257" t="s">
        <v>9</v>
      </c>
      <c r="H146" s="258"/>
      <c r="I146" s="259"/>
      <c r="J146" s="260">
        <f t="shared" si="18"/>
        <v>28100955.25</v>
      </c>
      <c r="K146" s="261">
        <f>+K147</f>
        <v>24857819</v>
      </c>
      <c r="L146" s="261">
        <f>+L147</f>
        <v>3243136.25</v>
      </c>
      <c r="M146" s="261">
        <f>+M147</f>
        <v>3123136.25</v>
      </c>
      <c r="N146" s="33">
        <f>SUM(O146:W146)</f>
        <v>0</v>
      </c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35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35">
        <f>Y146+N146</f>
        <v>0</v>
      </c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254"/>
    </row>
    <row r="147" spans="1:59" s="255" customFormat="1" ht="58.5" x14ac:dyDescent="0.3">
      <c r="A147" s="211" t="str">
        <f t="shared" si="13"/>
        <v>п</v>
      </c>
      <c r="B147" s="212" t="s">
        <v>184</v>
      </c>
      <c r="C147" s="29"/>
      <c r="D147" s="281" t="s">
        <v>64</v>
      </c>
      <c r="E147" s="256"/>
      <c r="F147" s="256"/>
      <c r="G147" s="257" t="s">
        <v>9</v>
      </c>
      <c r="H147" s="258"/>
      <c r="I147" s="259"/>
      <c r="J147" s="260">
        <f t="shared" si="18"/>
        <v>28100955.25</v>
      </c>
      <c r="K147" s="261">
        <f>SUM(K148:K166)-K149-K153</f>
        <v>24857819</v>
      </c>
      <c r="L147" s="261">
        <f>SUM(L148:L166)-L149-L153</f>
        <v>3243136.25</v>
      </c>
      <c r="M147" s="261">
        <f>SUM(M148:M166)-M149-M153</f>
        <v>3123136.25</v>
      </c>
      <c r="N147" s="33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35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35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254"/>
    </row>
    <row r="148" spans="1:59" s="253" customFormat="1" ht="41.25" customHeight="1" x14ac:dyDescent="0.3">
      <c r="A148" s="211" t="str">
        <f t="shared" si="13"/>
        <v>п</v>
      </c>
      <c r="B148" s="212" t="s">
        <v>184</v>
      </c>
      <c r="C148" s="133"/>
      <c r="D148" s="243" t="s">
        <v>136</v>
      </c>
      <c r="E148" s="243" t="s">
        <v>190</v>
      </c>
      <c r="F148" s="244" t="s">
        <v>162</v>
      </c>
      <c r="G148" s="245" t="s">
        <v>87</v>
      </c>
      <c r="H148" s="322"/>
      <c r="I148" s="323"/>
      <c r="J148" s="324">
        <f t="shared" si="18"/>
        <v>32984</v>
      </c>
      <c r="K148" s="325">
        <v>32984</v>
      </c>
      <c r="L148" s="325"/>
      <c r="M148" s="325"/>
      <c r="N148" s="76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3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3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254"/>
    </row>
    <row r="149" spans="1:59" s="97" customFormat="1" ht="37.5" hidden="1" x14ac:dyDescent="0.3">
      <c r="A149" s="28" t="str">
        <f t="shared" si="13"/>
        <v/>
      </c>
      <c r="B149" s="29" t="s">
        <v>184</v>
      </c>
      <c r="C149" s="136"/>
      <c r="D149" s="423"/>
      <c r="E149" s="118"/>
      <c r="F149" s="346"/>
      <c r="G149" s="91" t="s">
        <v>23</v>
      </c>
      <c r="H149" s="433"/>
      <c r="I149" s="162"/>
      <c r="J149" s="175">
        <f t="shared" si="18"/>
        <v>0</v>
      </c>
      <c r="K149" s="93"/>
      <c r="L149" s="92"/>
      <c r="M149" s="56"/>
      <c r="N149" s="94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6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6"/>
      <c r="BG149" s="143"/>
    </row>
    <row r="150" spans="1:59" s="36" customFormat="1" ht="36" hidden="1" x14ac:dyDescent="0.25">
      <c r="A150" s="28" t="str">
        <f t="shared" si="13"/>
        <v/>
      </c>
      <c r="B150" s="29" t="s">
        <v>184</v>
      </c>
      <c r="C150" s="135"/>
      <c r="D150" s="427" t="s">
        <v>206</v>
      </c>
      <c r="E150" s="128" t="s">
        <v>207</v>
      </c>
      <c r="F150" s="336" t="s">
        <v>133</v>
      </c>
      <c r="G150" s="54" t="s">
        <v>208</v>
      </c>
      <c r="H150" s="322"/>
      <c r="I150" s="163"/>
      <c r="J150" s="176">
        <f t="shared" si="18"/>
        <v>0</v>
      </c>
      <c r="K150" s="56"/>
      <c r="L150" s="193"/>
      <c r="M150" s="193"/>
      <c r="N150" s="33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35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35"/>
      <c r="BG150" s="143"/>
    </row>
    <row r="151" spans="1:59" s="36" customFormat="1" ht="36" hidden="1" x14ac:dyDescent="0.25">
      <c r="A151" s="28" t="str">
        <f>IF(J151=0,"","п")</f>
        <v/>
      </c>
      <c r="B151" s="29" t="s">
        <v>184</v>
      </c>
      <c r="C151" s="135"/>
      <c r="D151" s="427" t="s">
        <v>138</v>
      </c>
      <c r="E151" s="128" t="s">
        <v>139</v>
      </c>
      <c r="F151" s="336" t="s">
        <v>154</v>
      </c>
      <c r="G151" s="54" t="s">
        <v>140</v>
      </c>
      <c r="H151" s="322"/>
      <c r="I151" s="163"/>
      <c r="J151" s="176">
        <f>+K151+L151</f>
        <v>0</v>
      </c>
      <c r="K151" s="56"/>
      <c r="L151" s="56"/>
      <c r="M151" s="56"/>
      <c r="N151" s="33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35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35"/>
      <c r="BG151" s="143"/>
    </row>
    <row r="152" spans="1:59" s="36" customFormat="1" ht="41.25" customHeight="1" x14ac:dyDescent="0.25">
      <c r="A152" s="28" t="str">
        <f t="shared" si="13"/>
        <v>п</v>
      </c>
      <c r="B152" s="29" t="s">
        <v>184</v>
      </c>
      <c r="C152" s="133"/>
      <c r="D152" s="427" t="s">
        <v>65</v>
      </c>
      <c r="E152" s="336" t="s">
        <v>66</v>
      </c>
      <c r="F152" s="336" t="s">
        <v>154</v>
      </c>
      <c r="G152" s="456" t="s">
        <v>67</v>
      </c>
      <c r="H152" s="322"/>
      <c r="I152" s="323"/>
      <c r="J152" s="324">
        <f t="shared" si="18"/>
        <v>833000</v>
      </c>
      <c r="K152" s="325">
        <v>833000</v>
      </c>
      <c r="L152" s="325"/>
      <c r="M152" s="325"/>
      <c r="N152" s="76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3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3"/>
      <c r="BG152" s="143"/>
    </row>
    <row r="153" spans="1:59" s="97" customFormat="1" ht="37.5" hidden="1" x14ac:dyDescent="0.3">
      <c r="A153" s="28" t="str">
        <f t="shared" si="13"/>
        <v/>
      </c>
      <c r="B153" s="29" t="s">
        <v>184</v>
      </c>
      <c r="C153" s="136"/>
      <c r="D153" s="423"/>
      <c r="E153" s="118"/>
      <c r="F153" s="346"/>
      <c r="G153" s="91" t="s">
        <v>23</v>
      </c>
      <c r="H153" s="345"/>
      <c r="I153" s="162"/>
      <c r="J153" s="93">
        <f t="shared" si="18"/>
        <v>0</v>
      </c>
      <c r="K153" s="93"/>
      <c r="L153" s="92"/>
      <c r="M153" s="92"/>
      <c r="N153" s="94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6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6"/>
      <c r="BG153" s="143"/>
    </row>
    <row r="154" spans="1:59" s="36" customFormat="1" ht="18.75" hidden="1" x14ac:dyDescent="0.25">
      <c r="A154" s="28" t="str">
        <f t="shared" si="13"/>
        <v/>
      </c>
      <c r="B154" s="29" t="s">
        <v>184</v>
      </c>
      <c r="C154" s="135"/>
      <c r="D154" s="428"/>
      <c r="E154" s="139"/>
      <c r="F154" s="336"/>
      <c r="G154" s="54"/>
      <c r="H154" s="332"/>
      <c r="I154" s="163"/>
      <c r="J154" s="56">
        <f t="shared" si="18"/>
        <v>0</v>
      </c>
      <c r="K154" s="56">
        <f>+K155+K156</f>
        <v>0</v>
      </c>
      <c r="L154" s="55">
        <f>+L155+L156</f>
        <v>0</v>
      </c>
      <c r="M154" s="55"/>
      <c r="N154" s="33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35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35"/>
      <c r="BG154" s="143"/>
    </row>
    <row r="155" spans="1:59" s="36" customFormat="1" ht="21.75" hidden="1" customHeight="1" x14ac:dyDescent="0.25">
      <c r="A155" s="28" t="str">
        <f t="shared" si="13"/>
        <v/>
      </c>
      <c r="B155" s="29" t="s">
        <v>184</v>
      </c>
      <c r="C155" s="29"/>
      <c r="D155" s="272"/>
      <c r="E155" s="125"/>
      <c r="F155" s="244"/>
      <c r="G155" s="38"/>
      <c r="H155" s="272"/>
      <c r="I155" s="151"/>
      <c r="J155" s="41">
        <f t="shared" si="18"/>
        <v>0</v>
      </c>
      <c r="K155" s="41"/>
      <c r="L155" s="41"/>
      <c r="M155" s="41"/>
      <c r="N155" s="33">
        <f>SUM(O155:W155)</f>
        <v>0</v>
      </c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35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35">
        <f>Y155+N155</f>
        <v>0</v>
      </c>
      <c r="BG155" s="143"/>
    </row>
    <row r="156" spans="1:59" s="36" customFormat="1" ht="35.25" hidden="1" customHeight="1" x14ac:dyDescent="0.25">
      <c r="A156" s="28" t="str">
        <f t="shared" si="13"/>
        <v/>
      </c>
      <c r="B156" s="29" t="s">
        <v>184</v>
      </c>
      <c r="C156" s="29"/>
      <c r="D156" s="272"/>
      <c r="E156" s="125"/>
      <c r="F156" s="244"/>
      <c r="G156" s="38"/>
      <c r="H156" s="272"/>
      <c r="I156" s="151"/>
      <c r="J156" s="41">
        <f t="shared" si="18"/>
        <v>0</v>
      </c>
      <c r="K156" s="41"/>
      <c r="L156" s="41"/>
      <c r="M156" s="41"/>
      <c r="N156" s="33">
        <f>SUM(O156:W156)</f>
        <v>0</v>
      </c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35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35">
        <f>Y156+N156</f>
        <v>0</v>
      </c>
      <c r="BG156" s="143"/>
    </row>
    <row r="157" spans="1:59" s="97" customFormat="1" ht="18.75" hidden="1" x14ac:dyDescent="0.3">
      <c r="A157" s="28" t="str">
        <f t="shared" si="13"/>
        <v/>
      </c>
      <c r="B157" s="29" t="s">
        <v>184</v>
      </c>
      <c r="C157" s="136"/>
      <c r="D157" s="423"/>
      <c r="E157" s="118"/>
      <c r="F157" s="346"/>
      <c r="G157" s="91"/>
      <c r="H157" s="345"/>
      <c r="I157" s="162"/>
      <c r="J157" s="93">
        <f t="shared" si="18"/>
        <v>0</v>
      </c>
      <c r="K157" s="93"/>
      <c r="L157" s="92">
        <f>5000+10000-15000</f>
        <v>0</v>
      </c>
      <c r="M157" s="92"/>
      <c r="N157" s="94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6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6"/>
      <c r="BG157" s="143"/>
    </row>
    <row r="158" spans="1:59" s="36" customFormat="1" ht="35.25" hidden="1" customHeight="1" x14ac:dyDescent="0.25">
      <c r="A158" s="28" t="str">
        <f t="shared" si="13"/>
        <v/>
      </c>
      <c r="B158" s="29" t="s">
        <v>184</v>
      </c>
      <c r="C158" s="29"/>
      <c r="D158" s="272"/>
      <c r="E158" s="125"/>
      <c r="F158" s="244"/>
      <c r="G158" s="38"/>
      <c r="H158" s="272"/>
      <c r="I158" s="151"/>
      <c r="J158" s="41">
        <f t="shared" si="18"/>
        <v>0</v>
      </c>
      <c r="K158" s="41">
        <f>+K159+K160</f>
        <v>0</v>
      </c>
      <c r="L158" s="39">
        <f>+L159+L160</f>
        <v>0</v>
      </c>
      <c r="M158" s="39"/>
      <c r="N158" s="3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35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35"/>
      <c r="BG158" s="143"/>
    </row>
    <row r="159" spans="1:59" s="36" customFormat="1" ht="18.75" hidden="1" customHeight="1" x14ac:dyDescent="0.25">
      <c r="A159" s="28" t="str">
        <f t="shared" si="13"/>
        <v/>
      </c>
      <c r="B159" s="29" t="s">
        <v>184</v>
      </c>
      <c r="C159" s="29"/>
      <c r="D159" s="272"/>
      <c r="E159" s="125"/>
      <c r="F159" s="244"/>
      <c r="G159" s="38"/>
      <c r="H159" s="272"/>
      <c r="I159" s="151"/>
      <c r="J159" s="41">
        <f t="shared" si="18"/>
        <v>0</v>
      </c>
      <c r="K159" s="41"/>
      <c r="L159" s="41"/>
      <c r="M159" s="41"/>
      <c r="N159" s="3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35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35"/>
      <c r="BG159" s="143"/>
    </row>
    <row r="160" spans="1:59" s="36" customFormat="1" ht="36" hidden="1" customHeight="1" x14ac:dyDescent="0.25">
      <c r="A160" s="28" t="str">
        <f t="shared" si="13"/>
        <v/>
      </c>
      <c r="B160" s="29" t="s">
        <v>184</v>
      </c>
      <c r="C160" s="29"/>
      <c r="D160" s="272"/>
      <c r="E160" s="125"/>
      <c r="F160" s="244"/>
      <c r="G160" s="38"/>
      <c r="H160" s="272"/>
      <c r="I160" s="151"/>
      <c r="J160" s="41">
        <f t="shared" si="18"/>
        <v>0</v>
      </c>
      <c r="K160" s="41"/>
      <c r="L160" s="41"/>
      <c r="M160" s="41"/>
      <c r="N160" s="3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35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35"/>
      <c r="BG160" s="143"/>
    </row>
    <row r="161" spans="1:59" s="36" customFormat="1" ht="21.95" hidden="1" customHeight="1" x14ac:dyDescent="0.25">
      <c r="A161" s="28" t="str">
        <f t="shared" si="13"/>
        <v/>
      </c>
      <c r="B161" s="29" t="s">
        <v>184</v>
      </c>
      <c r="C161" s="29"/>
      <c r="D161" s="272"/>
      <c r="E161" s="125"/>
      <c r="F161" s="244"/>
      <c r="G161" s="38"/>
      <c r="H161" s="272"/>
      <c r="I161" s="151"/>
      <c r="J161" s="41">
        <f t="shared" si="18"/>
        <v>0</v>
      </c>
      <c r="K161" s="41"/>
      <c r="L161" s="41"/>
      <c r="M161" s="41"/>
      <c r="N161" s="33">
        <f>SUM(O161:W161)</f>
        <v>0</v>
      </c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35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35">
        <f>Y161+N161</f>
        <v>0</v>
      </c>
      <c r="BG161" s="143"/>
    </row>
    <row r="162" spans="1:59" s="36" customFormat="1" ht="72" hidden="1" x14ac:dyDescent="0.25">
      <c r="A162" s="28" t="str">
        <f t="shared" si="13"/>
        <v/>
      </c>
      <c r="B162" s="29" t="s">
        <v>184</v>
      </c>
      <c r="C162" s="29"/>
      <c r="D162" s="272" t="s">
        <v>68</v>
      </c>
      <c r="E162" s="100" t="s">
        <v>69</v>
      </c>
      <c r="F162" s="453" t="s">
        <v>154</v>
      </c>
      <c r="G162" s="38" t="s">
        <v>70</v>
      </c>
      <c r="H162" s="246"/>
      <c r="I162" s="151"/>
      <c r="J162" s="169">
        <f t="shared" si="18"/>
        <v>0</v>
      </c>
      <c r="K162" s="41">
        <f>30740-30740</f>
        <v>0</v>
      </c>
      <c r="L162" s="41"/>
      <c r="M162" s="41"/>
      <c r="N162" s="33">
        <f>SUM(O162:W162)</f>
        <v>0</v>
      </c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35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35">
        <f>Y162+N162</f>
        <v>0</v>
      </c>
      <c r="BG162" s="143"/>
    </row>
    <row r="163" spans="1:59" s="253" customFormat="1" ht="27.75" customHeight="1" x14ac:dyDescent="0.3">
      <c r="A163" s="211" t="str">
        <f t="shared" si="13"/>
        <v>п</v>
      </c>
      <c r="B163" s="212" t="s">
        <v>184</v>
      </c>
      <c r="C163" s="29"/>
      <c r="D163" s="272" t="s">
        <v>71</v>
      </c>
      <c r="E163" s="272" t="s">
        <v>72</v>
      </c>
      <c r="F163" s="244" t="s">
        <v>154</v>
      </c>
      <c r="G163" s="245" t="s">
        <v>73</v>
      </c>
      <c r="H163" s="246"/>
      <c r="I163" s="247"/>
      <c r="J163" s="248">
        <f t="shared" si="18"/>
        <v>23991835</v>
      </c>
      <c r="K163" s="249">
        <v>23991835</v>
      </c>
      <c r="L163" s="249"/>
      <c r="M163" s="249"/>
      <c r="N163" s="3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35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35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254"/>
    </row>
    <row r="164" spans="1:59" s="253" customFormat="1" ht="37.5" x14ac:dyDescent="0.3">
      <c r="A164" s="211" t="str">
        <f t="shared" si="13"/>
        <v>п</v>
      </c>
      <c r="B164" s="212" t="s">
        <v>184</v>
      </c>
      <c r="C164" s="29"/>
      <c r="D164" s="272" t="s">
        <v>83</v>
      </c>
      <c r="E164" s="272" t="s">
        <v>84</v>
      </c>
      <c r="F164" s="244" t="s">
        <v>157</v>
      </c>
      <c r="G164" s="245" t="s">
        <v>85</v>
      </c>
      <c r="H164" s="246"/>
      <c r="I164" s="247"/>
      <c r="J164" s="248">
        <f t="shared" si="18"/>
        <v>3123136.25</v>
      </c>
      <c r="K164" s="249"/>
      <c r="L164" s="325">
        <f>3250000-833000+250000+456136.25</f>
        <v>3123136.25</v>
      </c>
      <c r="M164" s="325">
        <f>3250000-833000+250000+456136.25</f>
        <v>3123136.25</v>
      </c>
      <c r="N164" s="3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35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35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254"/>
    </row>
    <row r="165" spans="1:59" s="36" customFormat="1" ht="62.25" hidden="1" customHeight="1" x14ac:dyDescent="0.25">
      <c r="A165" s="28" t="str">
        <f t="shared" si="13"/>
        <v/>
      </c>
      <c r="B165" s="29" t="s">
        <v>184</v>
      </c>
      <c r="C165" s="29"/>
      <c r="D165" s="272" t="s">
        <v>202</v>
      </c>
      <c r="E165" s="125">
        <v>7461</v>
      </c>
      <c r="F165" s="244" t="s">
        <v>158</v>
      </c>
      <c r="G165" s="38" t="s">
        <v>203</v>
      </c>
      <c r="H165" s="272"/>
      <c r="I165" s="151"/>
      <c r="J165" s="41">
        <f t="shared" si="18"/>
        <v>0</v>
      </c>
      <c r="K165" s="41"/>
      <c r="L165" s="41">
        <f>50000-50000</f>
        <v>0</v>
      </c>
      <c r="M165" s="41"/>
      <c r="N165" s="33">
        <f>SUM(O165:W165)</f>
        <v>0</v>
      </c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35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35">
        <f>Y165+N165</f>
        <v>0</v>
      </c>
      <c r="AL165" s="36" t="s">
        <v>11</v>
      </c>
      <c r="BG165" s="143"/>
    </row>
    <row r="166" spans="1:59" s="253" customFormat="1" ht="19.5" thickBot="1" x14ac:dyDescent="0.35">
      <c r="A166" s="211" t="str">
        <f t="shared" si="13"/>
        <v>п</v>
      </c>
      <c r="B166" s="212" t="s">
        <v>184</v>
      </c>
      <c r="C166" s="29"/>
      <c r="D166" s="272">
        <v>1218340</v>
      </c>
      <c r="E166" s="272">
        <v>8340</v>
      </c>
      <c r="F166" s="244" t="s">
        <v>205</v>
      </c>
      <c r="G166" s="245" t="s">
        <v>204</v>
      </c>
      <c r="H166" s="246"/>
      <c r="I166" s="247"/>
      <c r="J166" s="248">
        <f t="shared" si="18"/>
        <v>120000</v>
      </c>
      <c r="K166" s="249"/>
      <c r="L166" s="249">
        <v>120000</v>
      </c>
      <c r="M166" s="249"/>
      <c r="N166" s="33">
        <f>SUM(O166:W166)</f>
        <v>0</v>
      </c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35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35">
        <f>Y166+N166</f>
        <v>0</v>
      </c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254"/>
    </row>
    <row r="167" spans="1:59" s="36" customFormat="1" ht="36.75" hidden="1" thickBot="1" x14ac:dyDescent="0.3">
      <c r="A167" s="28" t="str">
        <f t="shared" si="13"/>
        <v/>
      </c>
      <c r="B167" s="29" t="s">
        <v>181</v>
      </c>
      <c r="C167" s="29"/>
      <c r="D167" s="281" t="s">
        <v>30</v>
      </c>
      <c r="E167" s="123"/>
      <c r="F167" s="281"/>
      <c r="G167" s="67" t="s">
        <v>3</v>
      </c>
      <c r="H167" s="322"/>
      <c r="I167" s="163"/>
      <c r="J167" s="171">
        <f t="shared" ref="J167:J227" si="20">+K167+L167</f>
        <v>0</v>
      </c>
      <c r="K167" s="68">
        <f>SUM(K169)</f>
        <v>0</v>
      </c>
      <c r="L167" s="73">
        <f>SUM(L169)</f>
        <v>0</v>
      </c>
      <c r="M167" s="73"/>
      <c r="N167" s="3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35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35"/>
      <c r="BG167" s="143"/>
    </row>
    <row r="168" spans="1:59" s="36" customFormat="1" ht="36.75" hidden="1" thickBot="1" x14ac:dyDescent="0.3">
      <c r="A168" s="28" t="str">
        <f t="shared" ref="A168:A233" si="21">IF(J168=0,"","п")</f>
        <v/>
      </c>
      <c r="B168" s="29" t="s">
        <v>181</v>
      </c>
      <c r="C168" s="29"/>
      <c r="D168" s="235" t="s">
        <v>29</v>
      </c>
      <c r="E168" s="116"/>
      <c r="F168" s="235"/>
      <c r="G168" s="70" t="s">
        <v>3</v>
      </c>
      <c r="H168" s="437"/>
      <c r="I168" s="181"/>
      <c r="J168" s="178">
        <f t="shared" si="20"/>
        <v>0</v>
      </c>
      <c r="K168" s="105">
        <f>+K169</f>
        <v>0</v>
      </c>
      <c r="L168" s="104">
        <f>+L169</f>
        <v>0</v>
      </c>
      <c r="M168" s="104"/>
      <c r="N168" s="3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35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35"/>
      <c r="BG168" s="143"/>
    </row>
    <row r="169" spans="1:59" s="36" customFormat="1" ht="45.75" hidden="1" customHeight="1" x14ac:dyDescent="0.25">
      <c r="A169" s="28" t="str">
        <f t="shared" si="21"/>
        <v/>
      </c>
      <c r="B169" s="29" t="s">
        <v>181</v>
      </c>
      <c r="C169" s="29"/>
      <c r="D169" s="243" t="s">
        <v>74</v>
      </c>
      <c r="E169" s="125" t="s">
        <v>75</v>
      </c>
      <c r="F169" s="244" t="s">
        <v>156</v>
      </c>
      <c r="G169" s="38" t="s">
        <v>76</v>
      </c>
      <c r="H169" s="246"/>
      <c r="I169" s="151"/>
      <c r="J169" s="169">
        <f t="shared" si="20"/>
        <v>0</v>
      </c>
      <c r="K169" s="41"/>
      <c r="L169" s="90"/>
      <c r="M169" s="90"/>
      <c r="N169" s="3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35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35"/>
      <c r="BG169" s="143"/>
    </row>
    <row r="170" spans="1:59" s="36" customFormat="1" ht="36.75" hidden="1" thickBot="1" x14ac:dyDescent="0.3">
      <c r="A170" s="28" t="str">
        <f t="shared" si="21"/>
        <v/>
      </c>
      <c r="B170" s="29" t="s">
        <v>185</v>
      </c>
      <c r="C170" s="29"/>
      <c r="D170" s="429">
        <v>3700000</v>
      </c>
      <c r="E170" s="131"/>
      <c r="F170" s="336"/>
      <c r="G170" s="67" t="s">
        <v>153</v>
      </c>
      <c r="H170" s="332"/>
      <c r="I170" s="163"/>
      <c r="J170" s="56">
        <f t="shared" si="20"/>
        <v>0</v>
      </c>
      <c r="K170" s="68">
        <f>SUM(K172)</f>
        <v>0</v>
      </c>
      <c r="L170" s="73">
        <f>SUM(L172)</f>
        <v>0</v>
      </c>
      <c r="M170" s="73"/>
      <c r="N170" s="3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35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35"/>
      <c r="BG170" s="143"/>
    </row>
    <row r="171" spans="1:59" s="36" customFormat="1" ht="36.75" hidden="1" thickBot="1" x14ac:dyDescent="0.3">
      <c r="A171" s="28" t="str">
        <f t="shared" si="21"/>
        <v/>
      </c>
      <c r="B171" s="29" t="s">
        <v>185</v>
      </c>
      <c r="C171" s="29"/>
      <c r="D171" s="304">
        <v>3710000</v>
      </c>
      <c r="E171" s="126"/>
      <c r="F171" s="267"/>
      <c r="G171" s="70" t="s">
        <v>153</v>
      </c>
      <c r="H171" s="290"/>
      <c r="I171" s="152"/>
      <c r="J171" s="45">
        <f t="shared" si="20"/>
        <v>0</v>
      </c>
      <c r="K171" s="102">
        <f>+K172</f>
        <v>0</v>
      </c>
      <c r="L171" s="101">
        <f>+L172</f>
        <v>0</v>
      </c>
      <c r="M171" s="101"/>
      <c r="N171" s="3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35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35"/>
      <c r="BG171" s="143"/>
    </row>
    <row r="172" spans="1:59" s="36" customFormat="1" ht="277.5" hidden="1" customHeight="1" thickBot="1" x14ac:dyDescent="0.3">
      <c r="A172" s="28" t="str">
        <f t="shared" si="21"/>
        <v/>
      </c>
      <c r="B172" s="29" t="s">
        <v>185</v>
      </c>
      <c r="C172" s="29"/>
      <c r="D172" s="430">
        <v>3716072</v>
      </c>
      <c r="E172" s="148">
        <v>6072</v>
      </c>
      <c r="F172" s="454" t="s">
        <v>214</v>
      </c>
      <c r="G172" s="149" t="s">
        <v>213</v>
      </c>
      <c r="H172" s="430"/>
      <c r="I172" s="164"/>
      <c r="J172" s="52">
        <f t="shared" si="20"/>
        <v>0</v>
      </c>
      <c r="K172" s="52"/>
      <c r="L172" s="150"/>
      <c r="M172" s="150"/>
      <c r="N172" s="3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35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35"/>
      <c r="BG172" s="143"/>
    </row>
    <row r="173" spans="1:59" s="36" customFormat="1" ht="94.5" hidden="1" thickBot="1" x14ac:dyDescent="0.3">
      <c r="A173" s="28" t="str">
        <f t="shared" si="21"/>
        <v/>
      </c>
      <c r="B173" s="29"/>
      <c r="C173" s="29"/>
      <c r="D173" s="227"/>
      <c r="E173" s="134"/>
      <c r="F173" s="228"/>
      <c r="G173" s="30"/>
      <c r="H173" s="230" t="s">
        <v>20</v>
      </c>
      <c r="I173" s="158" t="s">
        <v>223</v>
      </c>
      <c r="J173" s="167">
        <f t="shared" si="20"/>
        <v>0</v>
      </c>
      <c r="K173" s="32">
        <f t="shared" ref="K173:M174" si="22">+K174</f>
        <v>0</v>
      </c>
      <c r="L173" s="31">
        <f t="shared" si="22"/>
        <v>0</v>
      </c>
      <c r="M173" s="31">
        <f t="shared" si="22"/>
        <v>0</v>
      </c>
      <c r="N173" s="33">
        <f>SUM(O173:W173)</f>
        <v>0</v>
      </c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35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35">
        <f>Y173+N173</f>
        <v>0</v>
      </c>
      <c r="BG173" s="143"/>
    </row>
    <row r="174" spans="1:59" s="50" customFormat="1" ht="72.75" hidden="1" thickBot="1" x14ac:dyDescent="0.3">
      <c r="A174" s="28" t="str">
        <f t="shared" si="21"/>
        <v/>
      </c>
      <c r="B174" s="29" t="s">
        <v>184</v>
      </c>
      <c r="C174" s="29"/>
      <c r="D174" s="281" t="s">
        <v>63</v>
      </c>
      <c r="E174" s="119"/>
      <c r="F174" s="256"/>
      <c r="G174" s="67" t="s">
        <v>9</v>
      </c>
      <c r="H174" s="258"/>
      <c r="I174" s="180"/>
      <c r="J174" s="171">
        <f t="shared" si="20"/>
        <v>0</v>
      </c>
      <c r="K174" s="68">
        <f t="shared" si="22"/>
        <v>0</v>
      </c>
      <c r="L174" s="68">
        <f t="shared" si="22"/>
        <v>0</v>
      </c>
      <c r="M174" s="68">
        <f t="shared" si="22"/>
        <v>0</v>
      </c>
      <c r="N174" s="33">
        <f>SUM(O174:W174)</f>
        <v>0</v>
      </c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>
        <f>Y174+N174</f>
        <v>0</v>
      </c>
      <c r="BG174" s="143"/>
    </row>
    <row r="175" spans="1:59" s="50" customFormat="1" ht="72.75" hidden="1" thickBot="1" x14ac:dyDescent="0.3">
      <c r="A175" s="28" t="str">
        <f t="shared" si="21"/>
        <v/>
      </c>
      <c r="B175" s="29" t="s">
        <v>184</v>
      </c>
      <c r="C175" s="29"/>
      <c r="D175" s="281" t="s">
        <v>64</v>
      </c>
      <c r="E175" s="119"/>
      <c r="F175" s="256"/>
      <c r="G175" s="67" t="s">
        <v>9</v>
      </c>
      <c r="H175" s="316"/>
      <c r="I175" s="155"/>
      <c r="J175" s="178">
        <f t="shared" si="20"/>
        <v>0</v>
      </c>
      <c r="K175" s="105">
        <f>SUM(K176:K177)</f>
        <v>0</v>
      </c>
      <c r="L175" s="105">
        <f>SUM(L176:L177)</f>
        <v>0</v>
      </c>
      <c r="M175" s="105">
        <f>SUM(M176:M177)</f>
        <v>0</v>
      </c>
      <c r="N175" s="33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BG175" s="143"/>
    </row>
    <row r="176" spans="1:59" s="36" customFormat="1" ht="19.5" hidden="1" thickBot="1" x14ac:dyDescent="0.3">
      <c r="A176" s="28" t="str">
        <f>IF(J176=0,"","п")</f>
        <v/>
      </c>
      <c r="B176" s="29" t="s">
        <v>184</v>
      </c>
      <c r="C176" s="29"/>
      <c r="D176" s="272" t="s">
        <v>71</v>
      </c>
      <c r="E176" s="125" t="s">
        <v>72</v>
      </c>
      <c r="F176" s="244" t="s">
        <v>154</v>
      </c>
      <c r="G176" s="38" t="s">
        <v>73</v>
      </c>
      <c r="H176" s="246"/>
      <c r="I176" s="151"/>
      <c r="J176" s="169">
        <f>+K176+L176</f>
        <v>0</v>
      </c>
      <c r="K176" s="41"/>
      <c r="L176" s="39"/>
      <c r="M176" s="39"/>
      <c r="N176" s="33">
        <f>SUM(O176:W176)</f>
        <v>0</v>
      </c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35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35">
        <f>Y176+N176</f>
        <v>0</v>
      </c>
      <c r="BG176" s="143"/>
    </row>
    <row r="177" spans="1:59" s="36" customFormat="1" ht="36.75" hidden="1" thickBot="1" x14ac:dyDescent="0.3">
      <c r="A177" s="28" t="str">
        <f t="shared" si="21"/>
        <v/>
      </c>
      <c r="B177" s="29" t="s">
        <v>184</v>
      </c>
      <c r="C177" s="29"/>
      <c r="D177" s="272" t="s">
        <v>83</v>
      </c>
      <c r="E177" s="125" t="s">
        <v>84</v>
      </c>
      <c r="F177" s="244" t="s">
        <v>157</v>
      </c>
      <c r="G177" s="54" t="s">
        <v>85</v>
      </c>
      <c r="H177" s="438"/>
      <c r="I177" s="164"/>
      <c r="J177" s="197">
        <f t="shared" si="20"/>
        <v>0</v>
      </c>
      <c r="K177" s="52"/>
      <c r="L177" s="203">
        <f>4304834-453832-3851002</f>
        <v>0</v>
      </c>
      <c r="M177" s="203">
        <f>4304834-453832-3851002</f>
        <v>0</v>
      </c>
      <c r="N177" s="33">
        <f>SUM(O177:W177)</f>
        <v>0</v>
      </c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35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35">
        <f>Y177+N177</f>
        <v>0</v>
      </c>
      <c r="BG177" s="143"/>
    </row>
    <row r="178" spans="1:59" s="36" customFormat="1" ht="75.75" hidden="1" thickBot="1" x14ac:dyDescent="0.3">
      <c r="A178" s="28" t="str">
        <f t="shared" si="21"/>
        <v/>
      </c>
      <c r="B178" s="29"/>
      <c r="C178" s="29"/>
      <c r="D178" s="227"/>
      <c r="E178" s="134"/>
      <c r="F178" s="228"/>
      <c r="G178" s="183"/>
      <c r="H178" s="230" t="s">
        <v>21</v>
      </c>
      <c r="I178" s="158" t="s">
        <v>224</v>
      </c>
      <c r="J178" s="167">
        <f t="shared" si="20"/>
        <v>0</v>
      </c>
      <c r="K178" s="32">
        <f>K179</f>
        <v>0</v>
      </c>
      <c r="L178" s="32">
        <f>+L179</f>
        <v>0</v>
      </c>
      <c r="M178" s="32">
        <f>+M179</f>
        <v>0</v>
      </c>
      <c r="N178" s="33">
        <f>SUM(O178:W178)</f>
        <v>0</v>
      </c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5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5">
        <f>Y178+N178</f>
        <v>0</v>
      </c>
      <c r="BG178" s="143"/>
    </row>
    <row r="179" spans="1:59" s="50" customFormat="1" ht="72.75" hidden="1" thickBot="1" x14ac:dyDescent="0.3">
      <c r="A179" s="28" t="str">
        <f t="shared" si="21"/>
        <v/>
      </c>
      <c r="B179" s="29" t="s">
        <v>184</v>
      </c>
      <c r="C179" s="29"/>
      <c r="D179" s="281" t="s">
        <v>63</v>
      </c>
      <c r="E179" s="119"/>
      <c r="F179" s="256"/>
      <c r="G179" s="67" t="s">
        <v>9</v>
      </c>
      <c r="H179" s="258"/>
      <c r="I179" s="180"/>
      <c r="J179" s="171">
        <f t="shared" si="20"/>
        <v>0</v>
      </c>
      <c r="K179" s="68">
        <f>SUM(K181:K181)</f>
        <v>0</v>
      </c>
      <c r="L179" s="73">
        <f>SUM(L181:L181)</f>
        <v>0</v>
      </c>
      <c r="M179" s="73">
        <f>SUM(M181:M181)</f>
        <v>0</v>
      </c>
      <c r="N179" s="33">
        <f>SUM(O179:W179)</f>
        <v>0</v>
      </c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35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35">
        <f>Y179+N179</f>
        <v>0</v>
      </c>
      <c r="BG179" s="143"/>
    </row>
    <row r="180" spans="1:59" s="50" customFormat="1" ht="72.75" hidden="1" thickBot="1" x14ac:dyDescent="0.3">
      <c r="A180" s="28" t="str">
        <f t="shared" si="21"/>
        <v/>
      </c>
      <c r="B180" s="29" t="s">
        <v>184</v>
      </c>
      <c r="C180" s="29"/>
      <c r="D180" s="281" t="s">
        <v>64</v>
      </c>
      <c r="E180" s="119"/>
      <c r="F180" s="256"/>
      <c r="G180" s="67" t="s">
        <v>9</v>
      </c>
      <c r="H180" s="258"/>
      <c r="I180" s="180"/>
      <c r="J180" s="171">
        <f t="shared" si="20"/>
        <v>0</v>
      </c>
      <c r="K180" s="68">
        <f>K181</f>
        <v>0</v>
      </c>
      <c r="L180" s="73">
        <f>L181</f>
        <v>0</v>
      </c>
      <c r="M180" s="73">
        <f>M181</f>
        <v>0</v>
      </c>
      <c r="N180" s="33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35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35"/>
      <c r="BG180" s="143"/>
    </row>
    <row r="181" spans="1:59" s="36" customFormat="1" ht="36.75" hidden="1" thickBot="1" x14ac:dyDescent="0.3">
      <c r="A181" s="28" t="str">
        <f t="shared" si="21"/>
        <v/>
      </c>
      <c r="B181" s="29" t="s">
        <v>184</v>
      </c>
      <c r="C181" s="29"/>
      <c r="D181" s="272">
        <v>1218340</v>
      </c>
      <c r="E181" s="125">
        <v>8340</v>
      </c>
      <c r="F181" s="455" t="s">
        <v>205</v>
      </c>
      <c r="G181" s="38" t="s">
        <v>204</v>
      </c>
      <c r="H181" s="246"/>
      <c r="I181" s="151"/>
      <c r="J181" s="169">
        <f t="shared" si="20"/>
        <v>0</v>
      </c>
      <c r="K181" s="41"/>
      <c r="L181" s="41"/>
      <c r="M181" s="41"/>
      <c r="N181" s="33">
        <f>SUM(O181:W181)</f>
        <v>0</v>
      </c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35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35">
        <f>Y181+N181</f>
        <v>0</v>
      </c>
      <c r="BG181" s="143"/>
    </row>
    <row r="182" spans="1:59" s="253" customFormat="1" ht="55.5" customHeight="1" x14ac:dyDescent="0.3">
      <c r="A182" s="211" t="str">
        <f t="shared" si="21"/>
        <v>п</v>
      </c>
      <c r="B182" s="212"/>
      <c r="C182" s="29"/>
      <c r="D182" s="227"/>
      <c r="E182" s="227"/>
      <c r="F182" s="228"/>
      <c r="G182" s="229"/>
      <c r="H182" s="230" t="s">
        <v>150</v>
      </c>
      <c r="I182" s="296" t="s">
        <v>297</v>
      </c>
      <c r="J182" s="232">
        <f t="shared" si="20"/>
        <v>1775</v>
      </c>
      <c r="K182" s="233">
        <f>+K183</f>
        <v>1775</v>
      </c>
      <c r="L182" s="233">
        <f>+L183</f>
        <v>0</v>
      </c>
      <c r="M182" s="233">
        <f>+M183</f>
        <v>0</v>
      </c>
      <c r="N182" s="33">
        <f>SUM(O182:W182)</f>
        <v>0</v>
      </c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5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5">
        <f>Y182+N182</f>
        <v>0</v>
      </c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254"/>
    </row>
    <row r="183" spans="1:59" s="255" customFormat="1" ht="39" x14ac:dyDescent="0.3">
      <c r="A183" s="211" t="str">
        <f t="shared" si="21"/>
        <v>п</v>
      </c>
      <c r="B183" s="212" t="s">
        <v>181</v>
      </c>
      <c r="C183" s="29"/>
      <c r="D183" s="235" t="s">
        <v>30</v>
      </c>
      <c r="E183" s="235"/>
      <c r="F183" s="235"/>
      <c r="G183" s="237" t="s">
        <v>3</v>
      </c>
      <c r="H183" s="258"/>
      <c r="I183" s="259"/>
      <c r="J183" s="260">
        <f t="shared" si="20"/>
        <v>1775</v>
      </c>
      <c r="K183" s="261">
        <f>+K185</f>
        <v>1775</v>
      </c>
      <c r="L183" s="261"/>
      <c r="M183" s="261"/>
      <c r="N183" s="33">
        <f>SUM(O183:W183)</f>
        <v>0</v>
      </c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35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35">
        <f>Y183+N183</f>
        <v>0</v>
      </c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254"/>
    </row>
    <row r="184" spans="1:59" s="255" customFormat="1" ht="39" x14ac:dyDescent="0.3">
      <c r="A184" s="211" t="str">
        <f t="shared" si="21"/>
        <v>п</v>
      </c>
      <c r="B184" s="212" t="s">
        <v>181</v>
      </c>
      <c r="C184" s="29"/>
      <c r="D184" s="235" t="s">
        <v>29</v>
      </c>
      <c r="E184" s="235"/>
      <c r="F184" s="235"/>
      <c r="G184" s="237" t="s">
        <v>3</v>
      </c>
      <c r="H184" s="316"/>
      <c r="I184" s="317"/>
      <c r="J184" s="318">
        <f t="shared" si="20"/>
        <v>1775</v>
      </c>
      <c r="K184" s="319">
        <f>+K185</f>
        <v>1775</v>
      </c>
      <c r="L184" s="326">
        <f>+L185</f>
        <v>0</v>
      </c>
      <c r="M184" s="326">
        <f>+M185</f>
        <v>0</v>
      </c>
      <c r="N184" s="33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35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35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254"/>
    </row>
    <row r="185" spans="1:59" s="253" customFormat="1" ht="19.5" thickBot="1" x14ac:dyDescent="0.35">
      <c r="A185" s="211" t="str">
        <f t="shared" si="21"/>
        <v>п</v>
      </c>
      <c r="B185" s="212" t="s">
        <v>181</v>
      </c>
      <c r="C185" s="29"/>
      <c r="D185" s="244" t="s">
        <v>209</v>
      </c>
      <c r="E185" s="311" t="s">
        <v>210</v>
      </c>
      <c r="F185" s="312" t="s">
        <v>211</v>
      </c>
      <c r="G185" s="313" t="s">
        <v>212</v>
      </c>
      <c r="H185" s="321"/>
      <c r="I185" s="314"/>
      <c r="J185" s="327">
        <f t="shared" si="20"/>
        <v>1775</v>
      </c>
      <c r="K185" s="315">
        <v>1775</v>
      </c>
      <c r="L185" s="315"/>
      <c r="M185" s="315"/>
      <c r="N185" s="33">
        <f>SUM(O185:W185)</f>
        <v>0</v>
      </c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35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35">
        <f>Y185+N185</f>
        <v>0</v>
      </c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254"/>
    </row>
    <row r="186" spans="1:59" s="50" customFormat="1" ht="57" hidden="1" thickBot="1" x14ac:dyDescent="0.3">
      <c r="A186" s="28" t="str">
        <f t="shared" si="21"/>
        <v/>
      </c>
      <c r="B186" s="29"/>
      <c r="C186" s="29"/>
      <c r="D186" s="229"/>
      <c r="E186" s="30"/>
      <c r="F186" s="292"/>
      <c r="G186" s="30"/>
      <c r="H186" s="230" t="s">
        <v>247</v>
      </c>
      <c r="I186" s="192" t="s">
        <v>225</v>
      </c>
      <c r="J186" s="167">
        <f t="shared" si="20"/>
        <v>0</v>
      </c>
      <c r="K186" s="32">
        <f>K187</f>
        <v>0</v>
      </c>
      <c r="L186" s="32">
        <f>L187</f>
        <v>0</v>
      </c>
      <c r="M186" s="32">
        <f>M187</f>
        <v>0</v>
      </c>
      <c r="N186" s="33">
        <f>SUM(O186:W186)</f>
        <v>0</v>
      </c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5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5">
        <f>Y186+N186</f>
        <v>0</v>
      </c>
      <c r="BG186" s="143"/>
    </row>
    <row r="187" spans="1:59" s="50" customFormat="1" ht="36.75" hidden="1" thickBot="1" x14ac:dyDescent="0.3">
      <c r="A187" s="28" t="str">
        <f t="shared" si="21"/>
        <v/>
      </c>
      <c r="B187" s="29" t="s">
        <v>182</v>
      </c>
      <c r="C187" s="29"/>
      <c r="D187" s="256" t="s">
        <v>31</v>
      </c>
      <c r="E187" s="119"/>
      <c r="F187" s="256"/>
      <c r="G187" s="67" t="s">
        <v>18</v>
      </c>
      <c r="H187" s="238"/>
      <c r="I187" s="159"/>
      <c r="J187" s="168">
        <f t="shared" si="20"/>
        <v>0</v>
      </c>
      <c r="K187" s="71">
        <f>K189</f>
        <v>0</v>
      </c>
      <c r="L187" s="71">
        <f>L189</f>
        <v>0</v>
      </c>
      <c r="M187" s="71">
        <f>M189</f>
        <v>0</v>
      </c>
      <c r="N187" s="33">
        <f>SUM(O187:W187)</f>
        <v>0</v>
      </c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35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35">
        <f>Y187+N187</f>
        <v>0</v>
      </c>
      <c r="BG187" s="143"/>
    </row>
    <row r="188" spans="1:59" s="50" customFormat="1" ht="36.75" hidden="1" thickBot="1" x14ac:dyDescent="0.3">
      <c r="A188" s="28" t="str">
        <f t="shared" si="21"/>
        <v/>
      </c>
      <c r="B188" s="29" t="s">
        <v>182</v>
      </c>
      <c r="C188" s="29"/>
      <c r="D188" s="256" t="s">
        <v>32</v>
      </c>
      <c r="E188" s="119"/>
      <c r="F188" s="256"/>
      <c r="G188" s="67" t="s">
        <v>18</v>
      </c>
      <c r="H188" s="282"/>
      <c r="I188" s="156"/>
      <c r="J188" s="172">
        <f t="shared" si="20"/>
        <v>0</v>
      </c>
      <c r="K188" s="102">
        <f>+K189</f>
        <v>0</v>
      </c>
      <c r="L188" s="105">
        <f>+L189</f>
        <v>0</v>
      </c>
      <c r="M188" s="105">
        <f>+M189</f>
        <v>0</v>
      </c>
      <c r="N188" s="33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35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35"/>
      <c r="BG188" s="143"/>
    </row>
    <row r="189" spans="1:59" s="50" customFormat="1" ht="36.75" hidden="1" thickBot="1" x14ac:dyDescent="0.3">
      <c r="A189" s="28" t="str">
        <f t="shared" si="21"/>
        <v/>
      </c>
      <c r="B189" s="29" t="s">
        <v>182</v>
      </c>
      <c r="C189" s="29"/>
      <c r="D189" s="312" t="s">
        <v>195</v>
      </c>
      <c r="E189" s="124" t="s">
        <v>196</v>
      </c>
      <c r="F189" s="312" t="s">
        <v>22</v>
      </c>
      <c r="G189" s="48" t="s">
        <v>77</v>
      </c>
      <c r="H189" s="321"/>
      <c r="I189" s="153"/>
      <c r="J189" s="177">
        <f t="shared" si="20"/>
        <v>0</v>
      </c>
      <c r="K189" s="47"/>
      <c r="L189" s="195"/>
      <c r="M189" s="47"/>
      <c r="N189" s="33">
        <f>SUM(O189:W189)</f>
        <v>0</v>
      </c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>
        <f>Y189+N189</f>
        <v>0</v>
      </c>
      <c r="BG189" s="143"/>
    </row>
    <row r="190" spans="1:59" s="50" customFormat="1" ht="72.75" hidden="1" customHeight="1" x14ac:dyDescent="0.25">
      <c r="A190" s="28" t="str">
        <f t="shared" si="21"/>
        <v/>
      </c>
      <c r="B190" s="29"/>
      <c r="C190" s="29"/>
      <c r="D190" s="229"/>
      <c r="E190" s="30"/>
      <c r="F190" s="292"/>
      <c r="G190" s="30"/>
      <c r="H190" s="230" t="s">
        <v>219</v>
      </c>
      <c r="I190" s="158" t="s">
        <v>226</v>
      </c>
      <c r="J190" s="167">
        <f t="shared" si="20"/>
        <v>0</v>
      </c>
      <c r="K190" s="32">
        <f>K191</f>
        <v>0</v>
      </c>
      <c r="L190" s="32">
        <f>L191</f>
        <v>0</v>
      </c>
      <c r="M190" s="32">
        <f>M191</f>
        <v>0</v>
      </c>
      <c r="N190" s="33">
        <f>SUM(O190:W190)</f>
        <v>0</v>
      </c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5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5">
        <f>Y190+N190</f>
        <v>0</v>
      </c>
      <c r="BG190" s="143"/>
    </row>
    <row r="191" spans="1:59" s="50" customFormat="1" ht="37.5" hidden="1" customHeight="1" x14ac:dyDescent="0.25">
      <c r="A191" s="28" t="str">
        <f t="shared" si="21"/>
        <v/>
      </c>
      <c r="B191" s="29" t="s">
        <v>184</v>
      </c>
      <c r="C191" s="29"/>
      <c r="D191" s="256" t="s">
        <v>63</v>
      </c>
      <c r="E191" s="119"/>
      <c r="F191" s="256"/>
      <c r="G191" s="67" t="s">
        <v>9</v>
      </c>
      <c r="H191" s="238"/>
      <c r="I191" s="159"/>
      <c r="J191" s="168">
        <f>+K191+L191</f>
        <v>0</v>
      </c>
      <c r="K191" s="71">
        <f>K193</f>
        <v>0</v>
      </c>
      <c r="L191" s="71">
        <f>L193</f>
        <v>0</v>
      </c>
      <c r="M191" s="71">
        <f>M193</f>
        <v>0</v>
      </c>
      <c r="N191" s="33">
        <f>SUM(O191:W191)</f>
        <v>0</v>
      </c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35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35">
        <f>Y191+N191</f>
        <v>0</v>
      </c>
      <c r="BG191" s="143"/>
    </row>
    <row r="192" spans="1:59" s="50" customFormat="1" ht="39.75" hidden="1" customHeight="1" x14ac:dyDescent="0.25">
      <c r="A192" s="28" t="str">
        <f t="shared" si="21"/>
        <v/>
      </c>
      <c r="B192" s="29" t="s">
        <v>184</v>
      </c>
      <c r="C192" s="29"/>
      <c r="D192" s="330" t="s">
        <v>64</v>
      </c>
      <c r="E192" s="144"/>
      <c r="F192" s="330"/>
      <c r="G192" s="184" t="s">
        <v>9</v>
      </c>
      <c r="H192" s="282"/>
      <c r="I192" s="156"/>
      <c r="J192" s="172">
        <f t="shared" si="20"/>
        <v>0</v>
      </c>
      <c r="K192" s="102">
        <f>SUM(K193:K193)</f>
        <v>0</v>
      </c>
      <c r="L192" s="102">
        <f>SUM(L193:L193)</f>
        <v>0</v>
      </c>
      <c r="M192" s="102">
        <f>SUM(M193:M193)</f>
        <v>0</v>
      </c>
      <c r="N192" s="33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35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35"/>
      <c r="BG192" s="143"/>
    </row>
    <row r="193" spans="1:59" s="50" customFormat="1" ht="27.75" hidden="1" customHeight="1" thickBot="1" x14ac:dyDescent="0.3">
      <c r="A193" s="28" t="str">
        <f t="shared" si="21"/>
        <v/>
      </c>
      <c r="B193" s="29" t="s">
        <v>184</v>
      </c>
      <c r="C193" s="29"/>
      <c r="D193" s="290">
        <v>1216030</v>
      </c>
      <c r="E193" s="126">
        <v>6030</v>
      </c>
      <c r="F193" s="267" t="s">
        <v>154</v>
      </c>
      <c r="G193" s="49" t="s">
        <v>73</v>
      </c>
      <c r="H193" s="285"/>
      <c r="I193" s="152"/>
      <c r="J193" s="173">
        <f t="shared" si="20"/>
        <v>0</v>
      </c>
      <c r="K193" s="45"/>
      <c r="L193" s="45"/>
      <c r="M193" s="45"/>
      <c r="N193" s="33">
        <f>SUM(O193:W193)</f>
        <v>0</v>
      </c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>
        <f>Y193+N193</f>
        <v>0</v>
      </c>
      <c r="BG193" s="143"/>
    </row>
    <row r="194" spans="1:59" s="255" customFormat="1" ht="60" customHeight="1" x14ac:dyDescent="0.3">
      <c r="A194" s="211" t="str">
        <f t="shared" si="21"/>
        <v>п</v>
      </c>
      <c r="B194" s="212"/>
      <c r="C194" s="29"/>
      <c r="D194" s="229"/>
      <c r="E194" s="229"/>
      <c r="F194" s="292"/>
      <c r="G194" s="229"/>
      <c r="H194" s="229" t="s">
        <v>241</v>
      </c>
      <c r="I194" s="231" t="s">
        <v>240</v>
      </c>
      <c r="J194" s="233">
        <f t="shared" si="20"/>
        <v>1900000</v>
      </c>
      <c r="K194" s="233">
        <f>K195</f>
        <v>1900000</v>
      </c>
      <c r="L194" s="233">
        <f>L195</f>
        <v>0</v>
      </c>
      <c r="M194" s="233">
        <f>M195</f>
        <v>0</v>
      </c>
      <c r="N194" s="33">
        <f>SUM(O194:W194)</f>
        <v>0</v>
      </c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5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5">
        <f>Y194+N194</f>
        <v>0</v>
      </c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254"/>
    </row>
    <row r="195" spans="1:59" s="255" customFormat="1" ht="39" x14ac:dyDescent="0.3">
      <c r="A195" s="211" t="str">
        <f t="shared" si="21"/>
        <v>п</v>
      </c>
      <c r="B195" s="212" t="s">
        <v>181</v>
      </c>
      <c r="C195" s="29"/>
      <c r="D195" s="235" t="s">
        <v>30</v>
      </c>
      <c r="E195" s="235"/>
      <c r="F195" s="235"/>
      <c r="G195" s="237" t="s">
        <v>3</v>
      </c>
      <c r="H195" s="328"/>
      <c r="I195" s="239"/>
      <c r="J195" s="241">
        <f t="shared" si="20"/>
        <v>1900000</v>
      </c>
      <c r="K195" s="241">
        <f t="shared" ref="K195:M196" si="23">+K196</f>
        <v>1900000</v>
      </c>
      <c r="L195" s="241">
        <f t="shared" si="23"/>
        <v>0</v>
      </c>
      <c r="M195" s="241">
        <f t="shared" si="23"/>
        <v>0</v>
      </c>
      <c r="N195" s="33">
        <f>SUM(O195:W195)</f>
        <v>0</v>
      </c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35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35">
        <f>Y195+N195</f>
        <v>0</v>
      </c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254"/>
    </row>
    <row r="196" spans="1:59" s="255" customFormat="1" ht="39" x14ac:dyDescent="0.3">
      <c r="A196" s="211" t="str">
        <f t="shared" si="21"/>
        <v>п</v>
      </c>
      <c r="B196" s="212" t="s">
        <v>181</v>
      </c>
      <c r="C196" s="29"/>
      <c r="D196" s="235" t="s">
        <v>29</v>
      </c>
      <c r="E196" s="235"/>
      <c r="F196" s="235"/>
      <c r="G196" s="237" t="s">
        <v>3</v>
      </c>
      <c r="H196" s="304"/>
      <c r="I196" s="283"/>
      <c r="J196" s="309">
        <f t="shared" si="20"/>
        <v>1900000</v>
      </c>
      <c r="K196" s="309">
        <f t="shared" si="23"/>
        <v>1900000</v>
      </c>
      <c r="L196" s="329">
        <f t="shared" si="23"/>
        <v>0</v>
      </c>
      <c r="M196" s="329">
        <f t="shared" si="23"/>
        <v>0</v>
      </c>
      <c r="N196" s="33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35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35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254"/>
    </row>
    <row r="197" spans="1:59" s="253" customFormat="1" ht="22.5" customHeight="1" thickBot="1" x14ac:dyDescent="0.35">
      <c r="A197" s="211" t="str">
        <f t="shared" si="21"/>
        <v>п</v>
      </c>
      <c r="B197" s="212" t="s">
        <v>181</v>
      </c>
      <c r="C197" s="135"/>
      <c r="D197" s="243" t="s">
        <v>108</v>
      </c>
      <c r="E197" s="243" t="s">
        <v>109</v>
      </c>
      <c r="F197" s="244" t="s">
        <v>110</v>
      </c>
      <c r="G197" s="245" t="s">
        <v>111</v>
      </c>
      <c r="H197" s="272"/>
      <c r="I197" s="247"/>
      <c r="J197" s="249">
        <f>+K197+L197</f>
        <v>1900000</v>
      </c>
      <c r="K197" s="249">
        <f>100000+1800000</f>
        <v>1900000</v>
      </c>
      <c r="L197" s="249">
        <f>1800000-1800000</f>
        <v>0</v>
      </c>
      <c r="M197" s="249">
        <f>1800000-1800000</f>
        <v>0</v>
      </c>
      <c r="N197" s="3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35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35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254"/>
    </row>
    <row r="198" spans="1:59" s="255" customFormat="1" ht="102" customHeight="1" x14ac:dyDescent="0.3">
      <c r="A198" s="211" t="str">
        <f t="shared" si="21"/>
        <v>п</v>
      </c>
      <c r="B198" s="212"/>
      <c r="C198" s="29"/>
      <c r="D198" s="229"/>
      <c r="E198" s="229"/>
      <c r="F198" s="292"/>
      <c r="G198" s="229"/>
      <c r="H198" s="230" t="s">
        <v>128</v>
      </c>
      <c r="I198" s="231" t="s">
        <v>261</v>
      </c>
      <c r="J198" s="232">
        <f t="shared" si="20"/>
        <v>2054183.96</v>
      </c>
      <c r="K198" s="233">
        <f t="shared" ref="K198:M199" si="24">K199</f>
        <v>2054183.96</v>
      </c>
      <c r="L198" s="233">
        <f t="shared" si="24"/>
        <v>0</v>
      </c>
      <c r="M198" s="233">
        <f t="shared" si="24"/>
        <v>0</v>
      </c>
      <c r="N198" s="33">
        <f>SUM(O198:W198)</f>
        <v>0</v>
      </c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5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5">
        <f>Y198+N198</f>
        <v>0</v>
      </c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254"/>
    </row>
    <row r="199" spans="1:59" s="255" customFormat="1" ht="37.5" customHeight="1" x14ac:dyDescent="0.3">
      <c r="A199" s="211" t="str">
        <f t="shared" si="21"/>
        <v>п</v>
      </c>
      <c r="B199" s="212" t="s">
        <v>184</v>
      </c>
      <c r="C199" s="29"/>
      <c r="D199" s="256" t="s">
        <v>63</v>
      </c>
      <c r="E199" s="256"/>
      <c r="F199" s="256"/>
      <c r="G199" s="257" t="s">
        <v>9</v>
      </c>
      <c r="H199" s="238"/>
      <c r="I199" s="239"/>
      <c r="J199" s="240">
        <f>+K199+L199</f>
        <v>2054183.96</v>
      </c>
      <c r="K199" s="241">
        <f t="shared" si="24"/>
        <v>2054183.96</v>
      </c>
      <c r="L199" s="241">
        <f t="shared" si="24"/>
        <v>0</v>
      </c>
      <c r="M199" s="241">
        <f t="shared" si="24"/>
        <v>0</v>
      </c>
      <c r="N199" s="33">
        <f>SUM(O199:W199)</f>
        <v>0</v>
      </c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35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35">
        <f>Y199+N199</f>
        <v>0</v>
      </c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254"/>
    </row>
    <row r="200" spans="1:59" s="255" customFormat="1" ht="39.75" customHeight="1" x14ac:dyDescent="0.3">
      <c r="A200" s="211" t="str">
        <f t="shared" si="21"/>
        <v>п</v>
      </c>
      <c r="B200" s="212" t="s">
        <v>184</v>
      </c>
      <c r="C200" s="29"/>
      <c r="D200" s="330" t="s">
        <v>64</v>
      </c>
      <c r="E200" s="330"/>
      <c r="F200" s="330"/>
      <c r="G200" s="331" t="s">
        <v>9</v>
      </c>
      <c r="H200" s="282"/>
      <c r="I200" s="283"/>
      <c r="J200" s="284">
        <f>+K200+L200</f>
        <v>2054183.96</v>
      </c>
      <c r="K200" s="309">
        <f>SUM(K201:K202)</f>
        <v>2054183.96</v>
      </c>
      <c r="L200" s="309">
        <f>SUM(L201:L202)</f>
        <v>0</v>
      </c>
      <c r="M200" s="309">
        <f>SUM(M201:M202)</f>
        <v>0</v>
      </c>
      <c r="N200" s="33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35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35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254"/>
    </row>
    <row r="201" spans="1:59" s="255" customFormat="1" ht="39.75" hidden="1" customHeight="1" x14ac:dyDescent="0.3">
      <c r="A201" s="211" t="str">
        <f t="shared" si="21"/>
        <v/>
      </c>
      <c r="B201" s="212" t="s">
        <v>184</v>
      </c>
      <c r="C201" s="29"/>
      <c r="D201" s="332" t="s">
        <v>83</v>
      </c>
      <c r="E201" s="332" t="s">
        <v>84</v>
      </c>
      <c r="F201" s="244" t="s">
        <v>157</v>
      </c>
      <c r="G201" s="333" t="s">
        <v>85</v>
      </c>
      <c r="H201" s="282"/>
      <c r="I201" s="283"/>
      <c r="J201" s="287">
        <f>+K201+L201</f>
        <v>0</v>
      </c>
      <c r="K201" s="288"/>
      <c r="L201" s="334">
        <f>2000000-2000000</f>
        <v>0</v>
      </c>
      <c r="M201" s="334">
        <f>2000000-2000000</f>
        <v>0</v>
      </c>
      <c r="N201" s="33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35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35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254"/>
    </row>
    <row r="202" spans="1:59" s="255" customFormat="1" ht="39" customHeight="1" thickBot="1" x14ac:dyDescent="0.35">
      <c r="A202" s="211" t="str">
        <f t="shared" si="21"/>
        <v>п</v>
      </c>
      <c r="B202" s="212" t="s">
        <v>184</v>
      </c>
      <c r="C202" s="212"/>
      <c r="D202" s="431" t="s">
        <v>206</v>
      </c>
      <c r="E202" s="266" t="s">
        <v>207</v>
      </c>
      <c r="F202" s="445" t="s">
        <v>133</v>
      </c>
      <c r="G202" s="446" t="s">
        <v>208</v>
      </c>
      <c r="H202" s="285"/>
      <c r="I202" s="286"/>
      <c r="J202" s="287">
        <f t="shared" si="20"/>
        <v>2054183.96</v>
      </c>
      <c r="K202" s="288">
        <f>2000000+54183.96</f>
        <v>2054183.96</v>
      </c>
      <c r="L202" s="447"/>
      <c r="M202" s="447"/>
      <c r="N202" s="448">
        <f>SUM(O202:W202)</f>
        <v>0</v>
      </c>
      <c r="O202" s="449"/>
      <c r="P202" s="449"/>
      <c r="Q202" s="449"/>
      <c r="R202" s="449"/>
      <c r="S202" s="449"/>
      <c r="T202" s="449"/>
      <c r="U202" s="449"/>
      <c r="V202" s="449"/>
      <c r="W202" s="449"/>
      <c r="X202" s="449"/>
      <c r="Y202" s="449"/>
      <c r="Z202" s="449"/>
      <c r="AA202" s="449"/>
      <c r="AB202" s="449"/>
      <c r="AC202" s="449"/>
      <c r="AD202" s="449"/>
      <c r="AE202" s="449"/>
      <c r="AF202" s="449"/>
      <c r="AG202" s="449"/>
      <c r="AH202" s="449"/>
      <c r="AI202" s="449"/>
      <c r="AJ202" s="449"/>
      <c r="AK202" s="449">
        <f>Y202+N202</f>
        <v>0</v>
      </c>
      <c r="BG202" s="254"/>
    </row>
    <row r="203" spans="1:59" s="50" customFormat="1" ht="39" hidden="1" customHeight="1" thickBot="1" x14ac:dyDescent="0.3">
      <c r="A203" s="28" t="str">
        <f t="shared" si="21"/>
        <v/>
      </c>
      <c r="B203" s="29" t="s">
        <v>184</v>
      </c>
      <c r="C203" s="136"/>
      <c r="D203" s="423"/>
      <c r="E203" s="118"/>
      <c r="F203" s="346"/>
      <c r="G203" s="91" t="s">
        <v>23</v>
      </c>
      <c r="H203" s="433"/>
      <c r="I203" s="162"/>
      <c r="J203" s="175">
        <f t="shared" si="20"/>
        <v>0</v>
      </c>
      <c r="K203" s="93"/>
      <c r="L203" s="92"/>
      <c r="M203" s="56"/>
      <c r="N203" s="33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BG203" s="143"/>
    </row>
    <row r="204" spans="1:59" s="255" customFormat="1" ht="78.75" customHeight="1" x14ac:dyDescent="0.3">
      <c r="A204" s="211" t="str">
        <f t="shared" si="21"/>
        <v>п</v>
      </c>
      <c r="B204" s="212"/>
      <c r="C204" s="29"/>
      <c r="D204" s="229"/>
      <c r="E204" s="229"/>
      <c r="F204" s="292"/>
      <c r="G204" s="229"/>
      <c r="H204" s="230" t="s">
        <v>276</v>
      </c>
      <c r="I204" s="231" t="s">
        <v>277</v>
      </c>
      <c r="J204" s="232">
        <f t="shared" si="20"/>
        <v>26000</v>
      </c>
      <c r="K204" s="233">
        <f>K205</f>
        <v>26000</v>
      </c>
      <c r="L204" s="233">
        <f>L205</f>
        <v>0</v>
      </c>
      <c r="M204" s="233">
        <f>M205</f>
        <v>0</v>
      </c>
      <c r="N204" s="33">
        <f>SUM(O204:W204)</f>
        <v>0</v>
      </c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5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5">
        <f>Y204+N204</f>
        <v>0</v>
      </c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254"/>
    </row>
    <row r="205" spans="1:59" s="255" customFormat="1" ht="62.25" customHeight="1" x14ac:dyDescent="0.3">
      <c r="A205" s="211" t="str">
        <f t="shared" si="21"/>
        <v>п</v>
      </c>
      <c r="B205" s="212" t="s">
        <v>181</v>
      </c>
      <c r="C205" s="29"/>
      <c r="D205" s="281" t="s">
        <v>168</v>
      </c>
      <c r="E205" s="256"/>
      <c r="F205" s="256"/>
      <c r="G205" s="257" t="s">
        <v>307</v>
      </c>
      <c r="H205" s="238"/>
      <c r="I205" s="239"/>
      <c r="J205" s="240">
        <f t="shared" si="20"/>
        <v>26000</v>
      </c>
      <c r="K205" s="241">
        <f t="shared" ref="K205:M206" si="25">+K206</f>
        <v>26000</v>
      </c>
      <c r="L205" s="241">
        <f t="shared" si="25"/>
        <v>0</v>
      </c>
      <c r="M205" s="241">
        <f t="shared" si="25"/>
        <v>0</v>
      </c>
      <c r="N205" s="33">
        <f>SUM(O205:W205)</f>
        <v>0</v>
      </c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35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35">
        <f>Y205+N205</f>
        <v>0</v>
      </c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254"/>
    </row>
    <row r="206" spans="1:59" s="255" customFormat="1" ht="61.5" customHeight="1" x14ac:dyDescent="0.3">
      <c r="A206" s="211" t="str">
        <f t="shared" si="21"/>
        <v>п</v>
      </c>
      <c r="B206" s="212" t="s">
        <v>181</v>
      </c>
      <c r="C206" s="29"/>
      <c r="D206" s="281" t="s">
        <v>169</v>
      </c>
      <c r="E206" s="256"/>
      <c r="F206" s="256"/>
      <c r="G206" s="257" t="s">
        <v>307</v>
      </c>
      <c r="H206" s="282"/>
      <c r="I206" s="283"/>
      <c r="J206" s="284">
        <f t="shared" si="20"/>
        <v>26000</v>
      </c>
      <c r="K206" s="309">
        <f t="shared" si="25"/>
        <v>26000</v>
      </c>
      <c r="L206" s="329">
        <f t="shared" si="25"/>
        <v>0</v>
      </c>
      <c r="M206" s="329">
        <f t="shared" si="25"/>
        <v>0</v>
      </c>
      <c r="N206" s="33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35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35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254"/>
    </row>
    <row r="207" spans="1:59" s="253" customFormat="1" ht="21" customHeight="1" thickBot="1" x14ac:dyDescent="0.35">
      <c r="A207" s="211" t="str">
        <f t="shared" si="21"/>
        <v>п</v>
      </c>
      <c r="B207" s="212" t="s">
        <v>181</v>
      </c>
      <c r="C207" s="135"/>
      <c r="D207" s="243" t="s">
        <v>200</v>
      </c>
      <c r="E207" s="243" t="s">
        <v>199</v>
      </c>
      <c r="F207" s="244" t="s">
        <v>28</v>
      </c>
      <c r="G207" s="245" t="s">
        <v>201</v>
      </c>
      <c r="H207" s="272"/>
      <c r="I207" s="247"/>
      <c r="J207" s="249">
        <f t="shared" si="20"/>
        <v>26000</v>
      </c>
      <c r="K207" s="249">
        <v>26000</v>
      </c>
      <c r="L207" s="249"/>
      <c r="M207" s="249"/>
      <c r="N207" s="33">
        <f>SUM(O207:W207)</f>
        <v>0</v>
      </c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35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35">
        <f>Y207+N207</f>
        <v>0</v>
      </c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254"/>
    </row>
    <row r="208" spans="1:59" s="255" customFormat="1" ht="75" x14ac:dyDescent="0.3">
      <c r="A208" s="211" t="str">
        <f t="shared" si="21"/>
        <v>п</v>
      </c>
      <c r="B208" s="212"/>
      <c r="C208" s="29"/>
      <c r="D208" s="229"/>
      <c r="E208" s="229"/>
      <c r="F208" s="292"/>
      <c r="G208" s="229"/>
      <c r="H208" s="229" t="s">
        <v>122</v>
      </c>
      <c r="I208" s="231" t="s">
        <v>228</v>
      </c>
      <c r="J208" s="233">
        <f t="shared" si="20"/>
        <v>7400000</v>
      </c>
      <c r="K208" s="233">
        <f>K209</f>
        <v>0</v>
      </c>
      <c r="L208" s="233">
        <f>L209</f>
        <v>7400000</v>
      </c>
      <c r="M208" s="233">
        <f>M209</f>
        <v>7400000</v>
      </c>
      <c r="N208" s="33">
        <f>SUM(O208:W208)</f>
        <v>0</v>
      </c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5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5">
        <f>Y208+N208</f>
        <v>0</v>
      </c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254"/>
    </row>
    <row r="209" spans="1:65" s="255" customFormat="1" ht="39" x14ac:dyDescent="0.3">
      <c r="A209" s="211" t="str">
        <f t="shared" si="21"/>
        <v>п</v>
      </c>
      <c r="B209" s="212" t="s">
        <v>181</v>
      </c>
      <c r="C209" s="29"/>
      <c r="D209" s="235" t="s">
        <v>30</v>
      </c>
      <c r="E209" s="235"/>
      <c r="F209" s="235"/>
      <c r="G209" s="237" t="s">
        <v>3</v>
      </c>
      <c r="H209" s="328"/>
      <c r="I209" s="239"/>
      <c r="J209" s="241">
        <f t="shared" si="20"/>
        <v>7400000</v>
      </c>
      <c r="K209" s="241">
        <f t="shared" ref="K209:M210" si="26">+K210</f>
        <v>0</v>
      </c>
      <c r="L209" s="241">
        <f t="shared" si="26"/>
        <v>7400000</v>
      </c>
      <c r="M209" s="241">
        <f t="shared" si="26"/>
        <v>7400000</v>
      </c>
      <c r="N209" s="33">
        <f>SUM(O209:W209)</f>
        <v>0</v>
      </c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35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35">
        <f>Y209+N209</f>
        <v>0</v>
      </c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254"/>
    </row>
    <row r="210" spans="1:65" s="255" customFormat="1" ht="39" x14ac:dyDescent="0.3">
      <c r="A210" s="211" t="str">
        <f t="shared" si="21"/>
        <v>п</v>
      </c>
      <c r="B210" s="212" t="s">
        <v>181</v>
      </c>
      <c r="C210" s="29"/>
      <c r="D210" s="235" t="s">
        <v>29</v>
      </c>
      <c r="E210" s="235"/>
      <c r="F210" s="235"/>
      <c r="G210" s="237" t="s">
        <v>3</v>
      </c>
      <c r="H210" s="304"/>
      <c r="I210" s="283"/>
      <c r="J210" s="309">
        <f t="shared" si="20"/>
        <v>7400000</v>
      </c>
      <c r="K210" s="309">
        <f t="shared" si="26"/>
        <v>0</v>
      </c>
      <c r="L210" s="329">
        <f t="shared" si="26"/>
        <v>7400000</v>
      </c>
      <c r="M210" s="329">
        <f t="shared" si="26"/>
        <v>7400000</v>
      </c>
      <c r="N210" s="33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35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35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254"/>
    </row>
    <row r="211" spans="1:65" s="255" customFormat="1" ht="38.25" thickBot="1" x14ac:dyDescent="0.35">
      <c r="A211" s="211" t="str">
        <f t="shared" si="21"/>
        <v>п</v>
      </c>
      <c r="B211" s="212" t="s">
        <v>181</v>
      </c>
      <c r="C211" s="29"/>
      <c r="D211" s="312" t="s">
        <v>74</v>
      </c>
      <c r="E211" s="310">
        <v>7670</v>
      </c>
      <c r="F211" s="312" t="s">
        <v>156</v>
      </c>
      <c r="G211" s="313" t="s">
        <v>76</v>
      </c>
      <c r="H211" s="311"/>
      <c r="I211" s="314"/>
      <c r="J211" s="315">
        <f t="shared" si="20"/>
        <v>7400000</v>
      </c>
      <c r="K211" s="315"/>
      <c r="L211" s="335">
        <f>5000000+1200000+1200000</f>
        <v>7400000</v>
      </c>
      <c r="M211" s="335">
        <f>5000000+1200000+1200000</f>
        <v>7400000</v>
      </c>
      <c r="N211" s="33">
        <f>SUM(O211:W211)</f>
        <v>0</v>
      </c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>
        <f>Y211+N211</f>
        <v>0</v>
      </c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254"/>
    </row>
    <row r="212" spans="1:65" s="253" customFormat="1" ht="138.75" customHeight="1" x14ac:dyDescent="0.3">
      <c r="A212" s="211" t="str">
        <f t="shared" si="21"/>
        <v>п</v>
      </c>
      <c r="B212" s="212"/>
      <c r="C212" s="29"/>
      <c r="D212" s="332"/>
      <c r="E212" s="332"/>
      <c r="F212" s="336"/>
      <c r="G212" s="337"/>
      <c r="H212" s="338" t="s">
        <v>86</v>
      </c>
      <c r="I212" s="339" t="s">
        <v>227</v>
      </c>
      <c r="J212" s="340">
        <f t="shared" si="20"/>
        <v>105750</v>
      </c>
      <c r="K212" s="341">
        <f>K213</f>
        <v>0</v>
      </c>
      <c r="L212" s="341">
        <f>L213</f>
        <v>105750</v>
      </c>
      <c r="M212" s="341">
        <f>M213</f>
        <v>105750</v>
      </c>
      <c r="N212" s="33">
        <f t="shared" ref="N212:N218" si="27">SUM(O212:W212)</f>
        <v>0</v>
      </c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5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5">
        <f t="shared" ref="AK212:AK218" si="28">Y212+N212</f>
        <v>0</v>
      </c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254"/>
    </row>
    <row r="213" spans="1:65" s="255" customFormat="1" ht="39" x14ac:dyDescent="0.3">
      <c r="A213" s="211" t="str">
        <f t="shared" si="21"/>
        <v>п</v>
      </c>
      <c r="B213" s="212" t="s">
        <v>181</v>
      </c>
      <c r="C213" s="135"/>
      <c r="D213" s="235" t="s">
        <v>30</v>
      </c>
      <c r="E213" s="235"/>
      <c r="F213" s="235"/>
      <c r="G213" s="237" t="s">
        <v>3</v>
      </c>
      <c r="H213" s="258"/>
      <c r="I213" s="259"/>
      <c r="J213" s="260">
        <f t="shared" si="20"/>
        <v>105750</v>
      </c>
      <c r="K213" s="262">
        <f>+K214</f>
        <v>0</v>
      </c>
      <c r="L213" s="262">
        <f>+L214</f>
        <v>105750</v>
      </c>
      <c r="M213" s="262">
        <f>+M214</f>
        <v>105750</v>
      </c>
      <c r="N213" s="33">
        <f t="shared" si="27"/>
        <v>0</v>
      </c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35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35">
        <f t="shared" si="28"/>
        <v>0</v>
      </c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254"/>
    </row>
    <row r="214" spans="1:65" s="255" customFormat="1" ht="39" x14ac:dyDescent="0.3">
      <c r="A214" s="211" t="str">
        <f t="shared" si="21"/>
        <v>п</v>
      </c>
      <c r="B214" s="212" t="s">
        <v>181</v>
      </c>
      <c r="C214" s="135"/>
      <c r="D214" s="235" t="s">
        <v>29</v>
      </c>
      <c r="E214" s="235"/>
      <c r="F214" s="235"/>
      <c r="G214" s="237" t="s">
        <v>3</v>
      </c>
      <c r="H214" s="316"/>
      <c r="I214" s="317"/>
      <c r="J214" s="318">
        <f t="shared" si="20"/>
        <v>105750</v>
      </c>
      <c r="K214" s="326">
        <f>+K216+K215</f>
        <v>0</v>
      </c>
      <c r="L214" s="326">
        <f>+L216+L215</f>
        <v>105750</v>
      </c>
      <c r="M214" s="326">
        <f>+M216+M215</f>
        <v>105750</v>
      </c>
      <c r="N214" s="33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35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35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254"/>
    </row>
    <row r="215" spans="1:65" s="50" customFormat="1" ht="54" hidden="1" x14ac:dyDescent="0.25">
      <c r="A215" s="28" t="str">
        <f t="shared" si="21"/>
        <v/>
      </c>
      <c r="B215" s="29" t="s">
        <v>181</v>
      </c>
      <c r="C215" s="135"/>
      <c r="D215" s="431" t="s">
        <v>215</v>
      </c>
      <c r="E215" s="121" t="s">
        <v>216</v>
      </c>
      <c r="F215" s="431" t="s">
        <v>217</v>
      </c>
      <c r="G215" s="49" t="s">
        <v>218</v>
      </c>
      <c r="H215" s="246"/>
      <c r="I215" s="151"/>
      <c r="J215" s="169">
        <f t="shared" si="20"/>
        <v>0</v>
      </c>
      <c r="K215" s="41"/>
      <c r="L215" s="39"/>
      <c r="M215" s="39"/>
      <c r="N215" s="76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3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3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143"/>
      <c r="BH215" s="36"/>
      <c r="BI215" s="36"/>
      <c r="BJ215" s="36"/>
      <c r="BK215" s="36"/>
      <c r="BL215" s="36"/>
      <c r="BM215" s="36"/>
    </row>
    <row r="216" spans="1:65" s="253" customFormat="1" ht="19.5" thickBot="1" x14ac:dyDescent="0.35">
      <c r="A216" s="211" t="str">
        <f t="shared" si="21"/>
        <v>п</v>
      </c>
      <c r="B216" s="212" t="s">
        <v>181</v>
      </c>
      <c r="C216" s="29"/>
      <c r="D216" s="310" t="s">
        <v>78</v>
      </c>
      <c r="E216" s="312" t="s">
        <v>79</v>
      </c>
      <c r="F216" s="312" t="s">
        <v>159</v>
      </c>
      <c r="G216" s="313" t="s">
        <v>80</v>
      </c>
      <c r="H216" s="321"/>
      <c r="I216" s="314"/>
      <c r="J216" s="327">
        <f t="shared" si="20"/>
        <v>105750</v>
      </c>
      <c r="K216" s="315"/>
      <c r="L216" s="342">
        <v>105750</v>
      </c>
      <c r="M216" s="342">
        <v>105750</v>
      </c>
      <c r="N216" s="33">
        <f t="shared" si="27"/>
        <v>0</v>
      </c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35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35">
        <f t="shared" si="28"/>
        <v>0</v>
      </c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254"/>
    </row>
    <row r="217" spans="1:65" s="253" customFormat="1" ht="60" customHeight="1" x14ac:dyDescent="0.3">
      <c r="A217" s="211" t="str">
        <f t="shared" si="21"/>
        <v>п</v>
      </c>
      <c r="B217" s="212"/>
      <c r="C217" s="29"/>
      <c r="D217" s="227"/>
      <c r="E217" s="227"/>
      <c r="F217" s="228"/>
      <c r="G217" s="229"/>
      <c r="H217" s="230" t="s">
        <v>275</v>
      </c>
      <c r="I217" s="296" t="s">
        <v>298</v>
      </c>
      <c r="J217" s="232">
        <f>+K217+L217</f>
        <v>29776042.789999999</v>
      </c>
      <c r="K217" s="233">
        <f>+K218+K245+K258+K266+K254+K291</f>
        <v>6331363</v>
      </c>
      <c r="L217" s="233">
        <f>+L218+L245+L258+L266+L254+L291</f>
        <v>23444679.789999999</v>
      </c>
      <c r="M217" s="233">
        <f>+M218+M245+M258+M266+M254+M291</f>
        <v>23444679.789999999</v>
      </c>
      <c r="N217" s="33">
        <f t="shared" si="27"/>
        <v>0</v>
      </c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5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5">
        <f t="shared" si="28"/>
        <v>0</v>
      </c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254"/>
    </row>
    <row r="218" spans="1:65" s="50" customFormat="1" ht="39.75" customHeight="1" x14ac:dyDescent="0.25">
      <c r="A218" s="28" t="str">
        <f t="shared" si="21"/>
        <v>п</v>
      </c>
      <c r="B218" s="29" t="s">
        <v>181</v>
      </c>
      <c r="C218" s="135"/>
      <c r="D218" s="235" t="s">
        <v>30</v>
      </c>
      <c r="E218" s="235"/>
      <c r="F218" s="235"/>
      <c r="G218" s="237" t="s">
        <v>3</v>
      </c>
      <c r="H218" s="258"/>
      <c r="I218" s="259"/>
      <c r="J218" s="260">
        <f t="shared" si="20"/>
        <v>100000</v>
      </c>
      <c r="K218" s="261">
        <f>+K219</f>
        <v>100000</v>
      </c>
      <c r="L218" s="261">
        <f>+L219</f>
        <v>0</v>
      </c>
      <c r="M218" s="261">
        <f>+M219</f>
        <v>0</v>
      </c>
      <c r="N218" s="33">
        <f t="shared" si="27"/>
        <v>0</v>
      </c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35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35">
        <f t="shared" si="28"/>
        <v>0</v>
      </c>
      <c r="BG218" s="143"/>
    </row>
    <row r="219" spans="1:65" s="50" customFormat="1" ht="39.75" customHeight="1" x14ac:dyDescent="0.25">
      <c r="A219" s="28" t="str">
        <f t="shared" si="21"/>
        <v>п</v>
      </c>
      <c r="B219" s="29" t="s">
        <v>181</v>
      </c>
      <c r="C219" s="135"/>
      <c r="D219" s="235" t="s">
        <v>29</v>
      </c>
      <c r="E219" s="235"/>
      <c r="F219" s="235"/>
      <c r="G219" s="237" t="s">
        <v>3</v>
      </c>
      <c r="H219" s="258"/>
      <c r="I219" s="259"/>
      <c r="J219" s="260">
        <f>+K219+L219</f>
        <v>100000</v>
      </c>
      <c r="K219" s="261">
        <f>SUM(K220:K244)-K226</f>
        <v>100000</v>
      </c>
      <c r="L219" s="261">
        <f>SUM(L220:L244)-L226</f>
        <v>0</v>
      </c>
      <c r="M219" s="261">
        <f>SUM(M220:M244)-M226</f>
        <v>0</v>
      </c>
      <c r="N219" s="33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35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35"/>
      <c r="BG219" s="143"/>
    </row>
    <row r="220" spans="1:65" s="36" customFormat="1" ht="76.5" customHeight="1" x14ac:dyDescent="0.25">
      <c r="A220" s="28" t="str">
        <f t="shared" si="21"/>
        <v/>
      </c>
      <c r="B220" s="29" t="s">
        <v>181</v>
      </c>
      <c r="C220" s="137"/>
      <c r="D220" s="427" t="s">
        <v>102</v>
      </c>
      <c r="E220" s="427" t="s">
        <v>103</v>
      </c>
      <c r="F220" s="244" t="s">
        <v>94</v>
      </c>
      <c r="G220" s="456" t="s">
        <v>104</v>
      </c>
      <c r="H220" s="322"/>
      <c r="I220" s="323"/>
      <c r="J220" s="324">
        <f t="shared" si="20"/>
        <v>0</v>
      </c>
      <c r="K220" s="325"/>
      <c r="L220" s="325"/>
      <c r="M220" s="325"/>
      <c r="N220" s="76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3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3"/>
      <c r="BG220" s="143"/>
    </row>
    <row r="221" spans="1:65" s="36" customFormat="1" ht="40.5" hidden="1" customHeight="1" x14ac:dyDescent="0.25">
      <c r="A221" s="28" t="str">
        <f t="shared" si="21"/>
        <v/>
      </c>
      <c r="B221" s="29" t="s">
        <v>181</v>
      </c>
      <c r="C221" s="137"/>
      <c r="D221" s="427" t="s">
        <v>45</v>
      </c>
      <c r="E221" s="127" t="s">
        <v>175</v>
      </c>
      <c r="F221" s="244" t="s">
        <v>164</v>
      </c>
      <c r="G221" s="54" t="s">
        <v>173</v>
      </c>
      <c r="H221" s="322"/>
      <c r="I221" s="163"/>
      <c r="J221" s="176">
        <f t="shared" si="20"/>
        <v>0</v>
      </c>
      <c r="K221" s="56"/>
      <c r="L221" s="56"/>
      <c r="M221" s="56"/>
      <c r="N221" s="76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3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3"/>
      <c r="BG221" s="143"/>
    </row>
    <row r="222" spans="1:65" s="36" customFormat="1" ht="23.25" hidden="1" customHeight="1" x14ac:dyDescent="0.25">
      <c r="A222" s="28" t="str">
        <f t="shared" si="21"/>
        <v/>
      </c>
      <c r="B222" s="29" t="s">
        <v>181</v>
      </c>
      <c r="C222" s="137"/>
      <c r="D222" s="427" t="s">
        <v>112</v>
      </c>
      <c r="E222" s="127" t="s">
        <v>113</v>
      </c>
      <c r="F222" s="244" t="s">
        <v>114</v>
      </c>
      <c r="G222" s="54" t="s">
        <v>115</v>
      </c>
      <c r="H222" s="322"/>
      <c r="I222" s="163"/>
      <c r="J222" s="176">
        <f t="shared" si="20"/>
        <v>0</v>
      </c>
      <c r="K222" s="56"/>
      <c r="L222" s="56"/>
      <c r="M222" s="56"/>
      <c r="N222" s="76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3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3"/>
      <c r="BG222" s="143"/>
    </row>
    <row r="223" spans="1:65" s="36" customFormat="1" ht="61.5" hidden="1" customHeight="1" x14ac:dyDescent="0.25">
      <c r="A223" s="28" t="str">
        <f t="shared" si="21"/>
        <v/>
      </c>
      <c r="B223" s="29" t="s">
        <v>181</v>
      </c>
      <c r="C223" s="135"/>
      <c r="D223" s="243" t="s">
        <v>42</v>
      </c>
      <c r="E223" s="114" t="s">
        <v>43</v>
      </c>
      <c r="F223" s="244" t="s">
        <v>88</v>
      </c>
      <c r="G223" s="38" t="s">
        <v>44</v>
      </c>
      <c r="H223" s="246"/>
      <c r="I223" s="151"/>
      <c r="J223" s="169">
        <f t="shared" si="20"/>
        <v>0</v>
      </c>
      <c r="K223" s="41"/>
      <c r="L223" s="41"/>
      <c r="M223" s="41"/>
      <c r="N223" s="76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3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3"/>
      <c r="BG223" s="143"/>
    </row>
    <row r="224" spans="1:65" s="36" customFormat="1" ht="21" hidden="1" customHeight="1" x14ac:dyDescent="0.25">
      <c r="A224" s="28" t="str">
        <f t="shared" si="21"/>
        <v/>
      </c>
      <c r="B224" s="29" t="s">
        <v>181</v>
      </c>
      <c r="C224" s="135"/>
      <c r="D224" s="268"/>
      <c r="E224" s="114"/>
      <c r="F224" s="244"/>
      <c r="G224" s="38"/>
      <c r="H224" s="272"/>
      <c r="I224" s="151"/>
      <c r="J224" s="41">
        <f t="shared" si="20"/>
        <v>0</v>
      </c>
      <c r="K224" s="41"/>
      <c r="L224" s="41"/>
      <c r="M224" s="41"/>
      <c r="N224" s="76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3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3"/>
      <c r="BG224" s="143"/>
    </row>
    <row r="225" spans="1:59" s="36" customFormat="1" ht="76.5" hidden="1" customHeight="1" x14ac:dyDescent="0.25">
      <c r="A225" s="28" t="str">
        <f t="shared" si="21"/>
        <v/>
      </c>
      <c r="B225" s="29" t="s">
        <v>181</v>
      </c>
      <c r="C225" s="135"/>
      <c r="D225" s="243" t="s">
        <v>48</v>
      </c>
      <c r="E225" s="114" t="s">
        <v>49</v>
      </c>
      <c r="F225" s="244" t="s">
        <v>155</v>
      </c>
      <c r="G225" s="38" t="s">
        <v>50</v>
      </c>
      <c r="H225" s="246"/>
      <c r="I225" s="151"/>
      <c r="J225" s="169">
        <f t="shared" si="20"/>
        <v>0</v>
      </c>
      <c r="K225" s="41"/>
      <c r="L225" s="45"/>
      <c r="M225" s="45"/>
      <c r="N225" s="76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3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3"/>
      <c r="BG225" s="143"/>
    </row>
    <row r="226" spans="1:59" s="97" customFormat="1" ht="39" hidden="1" customHeight="1" x14ac:dyDescent="0.3">
      <c r="A226" s="28" t="str">
        <f t="shared" si="21"/>
        <v/>
      </c>
      <c r="B226" s="132" t="s">
        <v>181</v>
      </c>
      <c r="C226" s="136"/>
      <c r="D226" s="273"/>
      <c r="E226" s="130"/>
      <c r="F226" s="274"/>
      <c r="G226" s="91" t="s">
        <v>23</v>
      </c>
      <c r="H226" s="343"/>
      <c r="I226" s="165"/>
      <c r="J226" s="170">
        <f t="shared" si="20"/>
        <v>0</v>
      </c>
      <c r="K226" s="37"/>
      <c r="L226" s="103"/>
      <c r="M226" s="103"/>
      <c r="N226" s="140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9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9"/>
      <c r="BG226" s="143"/>
    </row>
    <row r="227" spans="1:59" s="36" customFormat="1" ht="18" hidden="1" customHeight="1" x14ac:dyDescent="0.25">
      <c r="A227" s="28" t="str">
        <f t="shared" si="21"/>
        <v/>
      </c>
      <c r="B227" s="29" t="s">
        <v>181</v>
      </c>
      <c r="C227" s="135"/>
      <c r="D227" s="243" t="s">
        <v>108</v>
      </c>
      <c r="E227" s="114" t="s">
        <v>109</v>
      </c>
      <c r="F227" s="244" t="s">
        <v>110</v>
      </c>
      <c r="G227" s="38" t="s">
        <v>111</v>
      </c>
      <c r="H227" s="272"/>
      <c r="I227" s="151"/>
      <c r="J227" s="41">
        <f t="shared" si="20"/>
        <v>0</v>
      </c>
      <c r="K227" s="41"/>
      <c r="L227" s="41"/>
      <c r="M227" s="41"/>
      <c r="N227" s="3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35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35"/>
      <c r="BG227" s="143"/>
    </row>
    <row r="228" spans="1:59" s="36" customFormat="1" ht="21" hidden="1" customHeight="1" x14ac:dyDescent="0.25">
      <c r="A228" s="28" t="str">
        <f t="shared" si="21"/>
        <v/>
      </c>
      <c r="B228" s="29" t="s">
        <v>181</v>
      </c>
      <c r="C228" s="135"/>
      <c r="D228" s="243" t="s">
        <v>89</v>
      </c>
      <c r="E228" s="114" t="s">
        <v>90</v>
      </c>
      <c r="F228" s="244" t="s">
        <v>157</v>
      </c>
      <c r="G228" s="38" t="s">
        <v>91</v>
      </c>
      <c r="H228" s="246"/>
      <c r="I228" s="151"/>
      <c r="J228" s="169">
        <f t="shared" ref="J228:J262" si="29">+K228+L228</f>
        <v>0</v>
      </c>
      <c r="K228" s="41"/>
      <c r="L228" s="41"/>
      <c r="M228" s="41"/>
      <c r="N228" s="76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3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3"/>
      <c r="BG228" s="143"/>
    </row>
    <row r="229" spans="1:59" s="36" customFormat="1" ht="21" hidden="1" customHeight="1" x14ac:dyDescent="0.25">
      <c r="A229" s="28" t="str">
        <f t="shared" si="21"/>
        <v/>
      </c>
      <c r="B229" s="29" t="s">
        <v>181</v>
      </c>
      <c r="C229" s="135"/>
      <c r="D229" s="268"/>
      <c r="E229" s="114"/>
      <c r="F229" s="244"/>
      <c r="G229" s="38"/>
      <c r="H229" s="272"/>
      <c r="I229" s="151"/>
      <c r="J229" s="41">
        <f t="shared" si="29"/>
        <v>0</v>
      </c>
      <c r="K229" s="41"/>
      <c r="L229" s="41"/>
      <c r="M229" s="41"/>
      <c r="N229" s="76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3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3"/>
      <c r="BG229" s="143"/>
    </row>
    <row r="230" spans="1:59" s="36" customFormat="1" ht="18.75" hidden="1" x14ac:dyDescent="0.25">
      <c r="A230" s="28" t="str">
        <f t="shared" si="21"/>
        <v/>
      </c>
      <c r="B230" s="29" t="s">
        <v>181</v>
      </c>
      <c r="C230" s="135"/>
      <c r="D230" s="268"/>
      <c r="E230" s="115"/>
      <c r="F230" s="244"/>
      <c r="G230" s="38"/>
      <c r="H230" s="272"/>
      <c r="I230" s="151"/>
      <c r="J230" s="41">
        <f t="shared" si="29"/>
        <v>0</v>
      </c>
      <c r="K230" s="41"/>
      <c r="L230" s="41"/>
      <c r="M230" s="41"/>
      <c r="N230" s="3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35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35"/>
      <c r="BG230" s="143"/>
    </row>
    <row r="231" spans="1:59" s="36" customFormat="1" ht="19.5" hidden="1" customHeight="1" x14ac:dyDescent="0.25">
      <c r="A231" s="28" t="str">
        <f t="shared" si="21"/>
        <v/>
      </c>
      <c r="B231" s="29" t="s">
        <v>181</v>
      </c>
      <c r="C231" s="135"/>
      <c r="D231" s="243" t="s">
        <v>234</v>
      </c>
      <c r="E231" s="114" t="s">
        <v>235</v>
      </c>
      <c r="F231" s="244" t="s">
        <v>217</v>
      </c>
      <c r="G231" s="38" t="s">
        <v>236</v>
      </c>
      <c r="H231" s="272"/>
      <c r="I231" s="151"/>
      <c r="J231" s="41">
        <f t="shared" si="29"/>
        <v>0</v>
      </c>
      <c r="K231" s="41"/>
      <c r="L231" s="41"/>
      <c r="M231" s="41"/>
      <c r="N231" s="76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3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3"/>
      <c r="BG231" s="143"/>
    </row>
    <row r="232" spans="1:59" s="36" customFormat="1" ht="18" hidden="1" customHeight="1" x14ac:dyDescent="0.25">
      <c r="A232" s="28" t="str">
        <f t="shared" si="21"/>
        <v/>
      </c>
      <c r="B232" s="29" t="s">
        <v>181</v>
      </c>
      <c r="C232" s="135"/>
      <c r="D232" s="243"/>
      <c r="E232" s="114"/>
      <c r="F232" s="244"/>
      <c r="G232" s="38"/>
      <c r="H232" s="272"/>
      <c r="I232" s="151"/>
      <c r="J232" s="41">
        <f t="shared" si="29"/>
        <v>0</v>
      </c>
      <c r="K232" s="41">
        <f>+K233</f>
        <v>0</v>
      </c>
      <c r="L232" s="41">
        <f>+L233</f>
        <v>0</v>
      </c>
      <c r="M232" s="41">
        <f>+M233</f>
        <v>0</v>
      </c>
      <c r="N232" s="3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35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35"/>
      <c r="BG232" s="143"/>
    </row>
    <row r="233" spans="1:59" s="36" customFormat="1" ht="18.75" hidden="1" x14ac:dyDescent="0.25">
      <c r="A233" s="28" t="str">
        <f t="shared" si="21"/>
        <v/>
      </c>
      <c r="B233" s="29" t="s">
        <v>181</v>
      </c>
      <c r="C233" s="135"/>
      <c r="D233" s="243"/>
      <c r="E233" s="114"/>
      <c r="F233" s="244"/>
      <c r="G233" s="38"/>
      <c r="H233" s="272"/>
      <c r="I233" s="151"/>
      <c r="J233" s="41">
        <f t="shared" si="29"/>
        <v>0</v>
      </c>
      <c r="K233" s="41"/>
      <c r="L233" s="41"/>
      <c r="M233" s="41"/>
      <c r="N233" s="3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35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35"/>
      <c r="BG233" s="143"/>
    </row>
    <row r="234" spans="1:59" s="36" customFormat="1" ht="18.75" hidden="1" customHeight="1" x14ac:dyDescent="0.25">
      <c r="A234" s="28" t="str">
        <f t="shared" ref="A234:A295" si="30">IF(J234=0,"","п")</f>
        <v/>
      </c>
      <c r="B234" s="132" t="s">
        <v>181</v>
      </c>
      <c r="C234" s="136"/>
      <c r="D234" s="273"/>
      <c r="E234" s="130"/>
      <c r="F234" s="274"/>
      <c r="G234" s="98"/>
      <c r="H234" s="276"/>
      <c r="I234" s="165"/>
      <c r="J234" s="37">
        <f t="shared" si="29"/>
        <v>0</v>
      </c>
      <c r="K234" s="37"/>
      <c r="L234" s="37"/>
      <c r="M234" s="37"/>
      <c r="N234" s="76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3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3"/>
      <c r="BG234" s="143"/>
    </row>
    <row r="235" spans="1:59" s="36" customFormat="1" ht="18.75" hidden="1" x14ac:dyDescent="0.25">
      <c r="A235" s="28" t="str">
        <f t="shared" si="30"/>
        <v/>
      </c>
      <c r="B235" s="29" t="s">
        <v>181</v>
      </c>
      <c r="C235" s="135"/>
      <c r="D235" s="243"/>
      <c r="E235" s="131"/>
      <c r="F235" s="336"/>
      <c r="G235" s="54"/>
      <c r="H235" s="272"/>
      <c r="I235" s="151"/>
      <c r="J235" s="41">
        <f t="shared" si="29"/>
        <v>0</v>
      </c>
      <c r="K235" s="41"/>
      <c r="L235" s="41"/>
      <c r="M235" s="41"/>
      <c r="N235" s="3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35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35"/>
      <c r="BG235" s="143"/>
    </row>
    <row r="236" spans="1:59" s="36" customFormat="1" ht="18.75" hidden="1" x14ac:dyDescent="0.25">
      <c r="A236" s="28" t="str">
        <f t="shared" si="30"/>
        <v/>
      </c>
      <c r="B236" s="29" t="s">
        <v>181</v>
      </c>
      <c r="C236" s="135"/>
      <c r="D236" s="243"/>
      <c r="E236" s="131"/>
      <c r="F236" s="244"/>
      <c r="G236" s="54"/>
      <c r="H236" s="272"/>
      <c r="I236" s="151"/>
      <c r="J236" s="41">
        <f t="shared" si="29"/>
        <v>0</v>
      </c>
      <c r="K236" s="41"/>
      <c r="L236" s="41">
        <f>147000-147000</f>
        <v>0</v>
      </c>
      <c r="M236" s="41">
        <f>147000-147000</f>
        <v>0</v>
      </c>
      <c r="N236" s="3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35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35"/>
      <c r="BG236" s="143"/>
    </row>
    <row r="237" spans="1:59" s="36" customFormat="1" ht="18.75" hidden="1" x14ac:dyDescent="0.25">
      <c r="A237" s="28" t="str">
        <f t="shared" si="30"/>
        <v/>
      </c>
      <c r="B237" s="29" t="s">
        <v>181</v>
      </c>
      <c r="C237" s="135"/>
      <c r="D237" s="268"/>
      <c r="E237" s="114"/>
      <c r="F237" s="244"/>
      <c r="G237" s="38"/>
      <c r="H237" s="272"/>
      <c r="I237" s="151"/>
      <c r="J237" s="41">
        <f t="shared" si="29"/>
        <v>0</v>
      </c>
      <c r="K237" s="41"/>
      <c r="L237" s="41"/>
      <c r="M237" s="41"/>
      <c r="N237" s="33">
        <f>SUM(O237:W237)</f>
        <v>0</v>
      </c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35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35">
        <f>Y237+N237</f>
        <v>0</v>
      </c>
      <c r="BG237" s="143"/>
    </row>
    <row r="238" spans="1:59" s="36" customFormat="1" ht="18" hidden="1" customHeight="1" x14ac:dyDescent="0.25">
      <c r="A238" s="28" t="str">
        <f t="shared" si="30"/>
        <v/>
      </c>
      <c r="B238" s="29" t="s">
        <v>181</v>
      </c>
      <c r="C238" s="135"/>
      <c r="D238" s="268"/>
      <c r="E238" s="139"/>
      <c r="F238" s="336"/>
      <c r="G238" s="54"/>
      <c r="H238" s="272"/>
      <c r="I238" s="151"/>
      <c r="J238" s="41">
        <f t="shared" si="29"/>
        <v>0</v>
      </c>
      <c r="K238" s="41"/>
      <c r="L238" s="41"/>
      <c r="M238" s="41"/>
      <c r="N238" s="3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35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35"/>
      <c r="BG238" s="143"/>
    </row>
    <row r="239" spans="1:59" s="97" customFormat="1" ht="20.25" hidden="1" customHeight="1" x14ac:dyDescent="0.3">
      <c r="A239" s="28" t="str">
        <f t="shared" si="30"/>
        <v/>
      </c>
      <c r="B239" s="132" t="s">
        <v>181</v>
      </c>
      <c r="C239" s="136"/>
      <c r="D239" s="273"/>
      <c r="E239" s="130"/>
      <c r="F239" s="274"/>
      <c r="G239" s="98"/>
      <c r="H239" s="276"/>
      <c r="I239" s="165"/>
      <c r="J239" s="37">
        <f t="shared" si="29"/>
        <v>0</v>
      </c>
      <c r="K239" s="37"/>
      <c r="L239" s="37"/>
      <c r="M239" s="37"/>
      <c r="N239" s="94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6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99"/>
      <c r="AK239" s="96"/>
      <c r="BG239" s="143"/>
    </row>
    <row r="240" spans="1:59" s="97" customFormat="1" ht="20.25" hidden="1" customHeight="1" x14ac:dyDescent="0.3">
      <c r="A240" s="28" t="str">
        <f t="shared" si="30"/>
        <v/>
      </c>
      <c r="B240" s="29" t="s">
        <v>181</v>
      </c>
      <c r="C240" s="136"/>
      <c r="D240" s="244"/>
      <c r="E240" s="125"/>
      <c r="F240" s="244"/>
      <c r="G240" s="38"/>
      <c r="H240" s="272"/>
      <c r="I240" s="151"/>
      <c r="J240" s="41">
        <f t="shared" si="29"/>
        <v>0</v>
      </c>
      <c r="K240" s="41"/>
      <c r="L240" s="41"/>
      <c r="M240" s="41"/>
      <c r="N240" s="94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6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99"/>
      <c r="AK240" s="96"/>
      <c r="BG240" s="143"/>
    </row>
    <row r="241" spans="1:59" s="36" customFormat="1" ht="58.5" hidden="1" customHeight="1" x14ac:dyDescent="0.25">
      <c r="A241" s="28" t="str">
        <f t="shared" si="30"/>
        <v/>
      </c>
      <c r="B241" s="29" t="s">
        <v>181</v>
      </c>
      <c r="C241" s="135"/>
      <c r="D241" s="268"/>
      <c r="E241" s="125"/>
      <c r="F241" s="244"/>
      <c r="G241" s="38"/>
      <c r="H241" s="272"/>
      <c r="I241" s="151"/>
      <c r="J241" s="41">
        <f t="shared" si="29"/>
        <v>0</v>
      </c>
      <c r="K241" s="41"/>
      <c r="L241" s="41"/>
      <c r="M241" s="41"/>
      <c r="N241" s="33">
        <f>SUM(O241:W241)</f>
        <v>0</v>
      </c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35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35">
        <f>Y241+N241</f>
        <v>0</v>
      </c>
      <c r="BG241" s="143"/>
    </row>
    <row r="242" spans="1:59" s="36" customFormat="1" ht="21" customHeight="1" x14ac:dyDescent="0.25">
      <c r="A242" s="28" t="str">
        <f t="shared" si="30"/>
        <v>п</v>
      </c>
      <c r="B242" s="29" t="s">
        <v>181</v>
      </c>
      <c r="C242" s="135"/>
      <c r="D242" s="268" t="s">
        <v>78</v>
      </c>
      <c r="E242" s="243">
        <v>9770</v>
      </c>
      <c r="F242" s="244" t="s">
        <v>159</v>
      </c>
      <c r="G242" s="245" t="s">
        <v>80</v>
      </c>
      <c r="H242" s="272"/>
      <c r="I242" s="247"/>
      <c r="J242" s="249">
        <f t="shared" si="29"/>
        <v>100000</v>
      </c>
      <c r="K242" s="249">
        <v>100000</v>
      </c>
      <c r="L242" s="249"/>
      <c r="M242" s="249"/>
      <c r="N242" s="33">
        <f>SUM(O242:W242)</f>
        <v>0</v>
      </c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35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35">
        <f>Y242+N242</f>
        <v>0</v>
      </c>
      <c r="BG242" s="143"/>
    </row>
    <row r="243" spans="1:59" s="36" customFormat="1" ht="54" hidden="1" x14ac:dyDescent="0.25">
      <c r="A243" s="28" t="str">
        <f t="shared" si="30"/>
        <v/>
      </c>
      <c r="B243" s="29" t="s">
        <v>181</v>
      </c>
      <c r="C243" s="135"/>
      <c r="D243" s="427" t="s">
        <v>99</v>
      </c>
      <c r="E243" s="131" t="s">
        <v>100</v>
      </c>
      <c r="F243" s="336" t="s">
        <v>159</v>
      </c>
      <c r="G243" s="54" t="s">
        <v>101</v>
      </c>
      <c r="H243" s="322"/>
      <c r="I243" s="163"/>
      <c r="J243" s="176">
        <f t="shared" si="29"/>
        <v>0</v>
      </c>
      <c r="K243" s="56"/>
      <c r="L243" s="56"/>
      <c r="M243" s="56"/>
      <c r="N243" s="3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35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35"/>
      <c r="BG243" s="143"/>
    </row>
    <row r="244" spans="1:59" s="36" customFormat="1" ht="18.75" hidden="1" x14ac:dyDescent="0.25">
      <c r="A244" s="28" t="str">
        <f t="shared" si="30"/>
        <v/>
      </c>
      <c r="B244" s="29" t="s">
        <v>181</v>
      </c>
      <c r="C244" s="135"/>
      <c r="D244" s="268"/>
      <c r="E244" s="131"/>
      <c r="F244" s="336"/>
      <c r="G244" s="54"/>
      <c r="H244" s="332"/>
      <c r="I244" s="163"/>
      <c r="J244" s="56">
        <f t="shared" si="29"/>
        <v>0</v>
      </c>
      <c r="K244" s="56"/>
      <c r="L244" s="56"/>
      <c r="M244" s="56"/>
      <c r="N244" s="3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35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35"/>
      <c r="BG244" s="143"/>
    </row>
    <row r="245" spans="1:59" s="50" customFormat="1" ht="36.75" hidden="1" customHeight="1" x14ac:dyDescent="0.25">
      <c r="A245" s="28" t="str">
        <f t="shared" si="30"/>
        <v/>
      </c>
      <c r="B245" s="29" t="s">
        <v>183</v>
      </c>
      <c r="C245" s="29"/>
      <c r="D245" s="235" t="s">
        <v>56</v>
      </c>
      <c r="E245" s="117"/>
      <c r="F245" s="236"/>
      <c r="G245" s="70" t="s">
        <v>2</v>
      </c>
      <c r="H245" s="258"/>
      <c r="I245" s="180"/>
      <c r="J245" s="171">
        <f t="shared" si="29"/>
        <v>0</v>
      </c>
      <c r="K245" s="68">
        <f>+K246</f>
        <v>0</v>
      </c>
      <c r="L245" s="68">
        <f>+L246</f>
        <v>0</v>
      </c>
      <c r="M245" s="68">
        <f>+M246</f>
        <v>0</v>
      </c>
      <c r="N245" s="33">
        <f>SUM(O245:W245)</f>
        <v>0</v>
      </c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35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35">
        <f>Y245+N245</f>
        <v>0</v>
      </c>
      <c r="BG245" s="143"/>
    </row>
    <row r="246" spans="1:59" s="50" customFormat="1" ht="36.75" hidden="1" customHeight="1" x14ac:dyDescent="0.25">
      <c r="A246" s="28" t="str">
        <f t="shared" si="30"/>
        <v/>
      </c>
      <c r="B246" s="29" t="s">
        <v>183</v>
      </c>
      <c r="C246" s="29"/>
      <c r="D246" s="235" t="s">
        <v>57</v>
      </c>
      <c r="E246" s="117"/>
      <c r="F246" s="236"/>
      <c r="G246" s="70" t="s">
        <v>2</v>
      </c>
      <c r="H246" s="258"/>
      <c r="I246" s="180"/>
      <c r="J246" s="171">
        <f t="shared" si="29"/>
        <v>0</v>
      </c>
      <c r="K246" s="68">
        <f>SUM(K247:K253)-K250-K248</f>
        <v>0</v>
      </c>
      <c r="L246" s="68">
        <f>SUM(L247:L253)-L250-L248</f>
        <v>0</v>
      </c>
      <c r="M246" s="68">
        <f>SUM(M247:M253)-M250-M248</f>
        <v>0</v>
      </c>
      <c r="N246" s="33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35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35"/>
      <c r="BG246" s="143"/>
    </row>
    <row r="247" spans="1:59" s="36" customFormat="1" ht="60.75" hidden="1" customHeight="1" x14ac:dyDescent="0.25">
      <c r="A247" s="28" t="str">
        <f t="shared" si="30"/>
        <v/>
      </c>
      <c r="B247" s="29" t="s">
        <v>183</v>
      </c>
      <c r="C247" s="29"/>
      <c r="D247" s="268" t="s">
        <v>137</v>
      </c>
      <c r="E247" s="115" t="s">
        <v>93</v>
      </c>
      <c r="F247" s="244" t="s">
        <v>94</v>
      </c>
      <c r="G247" s="54" t="s">
        <v>95</v>
      </c>
      <c r="H247" s="246" t="s">
        <v>151</v>
      </c>
      <c r="I247" s="151"/>
      <c r="J247" s="169">
        <f t="shared" si="29"/>
        <v>0</v>
      </c>
      <c r="K247" s="41"/>
      <c r="L247" s="39"/>
      <c r="M247" s="39"/>
      <c r="N247" s="33">
        <f>SUM(O247:W247)</f>
        <v>0</v>
      </c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35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35">
        <f>Y247+N247</f>
        <v>0</v>
      </c>
      <c r="BG247" s="143"/>
    </row>
    <row r="248" spans="1:59" s="36" customFormat="1" ht="42" hidden="1" customHeight="1" x14ac:dyDescent="0.25">
      <c r="A248" s="28" t="str">
        <f t="shared" si="30"/>
        <v/>
      </c>
      <c r="B248" s="132" t="s">
        <v>183</v>
      </c>
      <c r="C248" s="136"/>
      <c r="D248" s="273"/>
      <c r="E248" s="130"/>
      <c r="F248" s="274"/>
      <c r="G248" s="91" t="s">
        <v>23</v>
      </c>
      <c r="H248" s="343"/>
      <c r="I248" s="165"/>
      <c r="J248" s="170">
        <f t="shared" si="29"/>
        <v>0</v>
      </c>
      <c r="K248" s="37"/>
      <c r="L248" s="37"/>
      <c r="M248" s="37"/>
      <c r="N248" s="76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3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3"/>
      <c r="BG248" s="143"/>
    </row>
    <row r="249" spans="1:59" s="36" customFormat="1" ht="99" hidden="1" customHeight="1" x14ac:dyDescent="0.25">
      <c r="A249" s="28" t="str">
        <f t="shared" si="30"/>
        <v/>
      </c>
      <c r="B249" s="29" t="s">
        <v>183</v>
      </c>
      <c r="C249" s="29"/>
      <c r="D249" s="243" t="s">
        <v>286</v>
      </c>
      <c r="E249" s="114" t="s">
        <v>287</v>
      </c>
      <c r="F249" s="244" t="s">
        <v>161</v>
      </c>
      <c r="G249" s="38" t="s">
        <v>288</v>
      </c>
      <c r="H249" s="246" t="s">
        <v>151</v>
      </c>
      <c r="I249" s="151"/>
      <c r="J249" s="169">
        <f t="shared" si="29"/>
        <v>0</v>
      </c>
      <c r="K249" s="41"/>
      <c r="L249" s="39"/>
      <c r="M249" s="39"/>
      <c r="N249" s="33">
        <f>SUM(O249:W249)</f>
        <v>0</v>
      </c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35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35">
        <f>Y249+N249</f>
        <v>0</v>
      </c>
      <c r="BG249" s="143"/>
    </row>
    <row r="250" spans="1:59" s="36" customFormat="1" ht="42" hidden="1" customHeight="1" x14ac:dyDescent="0.25">
      <c r="A250" s="28" t="str">
        <f t="shared" si="30"/>
        <v/>
      </c>
      <c r="B250" s="132" t="s">
        <v>183</v>
      </c>
      <c r="C250" s="136"/>
      <c r="D250" s="273"/>
      <c r="E250" s="130"/>
      <c r="F250" s="274"/>
      <c r="G250" s="91" t="s">
        <v>23</v>
      </c>
      <c r="H250" s="343"/>
      <c r="I250" s="165"/>
      <c r="J250" s="170">
        <f t="shared" si="29"/>
        <v>0</v>
      </c>
      <c r="K250" s="37"/>
      <c r="L250" s="37"/>
      <c r="M250" s="37"/>
      <c r="N250" s="76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3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3"/>
      <c r="BG250" s="143"/>
    </row>
    <row r="251" spans="1:59" s="36" customFormat="1" ht="19.5" hidden="1" customHeight="1" x14ac:dyDescent="0.25">
      <c r="A251" s="28" t="str">
        <f t="shared" si="30"/>
        <v/>
      </c>
      <c r="B251" s="29" t="s">
        <v>183</v>
      </c>
      <c r="C251" s="136"/>
      <c r="D251" s="243"/>
      <c r="E251" s="114"/>
      <c r="F251" s="244"/>
      <c r="G251" s="38"/>
      <c r="H251" s="276"/>
      <c r="I251" s="165"/>
      <c r="J251" s="37">
        <f t="shared" si="29"/>
        <v>0</v>
      </c>
      <c r="K251" s="37"/>
      <c r="L251" s="37"/>
      <c r="M251" s="37"/>
      <c r="N251" s="76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3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3"/>
      <c r="BG251" s="143"/>
    </row>
    <row r="252" spans="1:59" s="36" customFormat="1" ht="41.25" hidden="1" customHeight="1" x14ac:dyDescent="0.25">
      <c r="A252" s="28" t="str">
        <f t="shared" si="30"/>
        <v/>
      </c>
      <c r="B252" s="29" t="s">
        <v>183</v>
      </c>
      <c r="C252" s="29"/>
      <c r="D252" s="243"/>
      <c r="E252" s="114"/>
      <c r="F252" s="244"/>
      <c r="G252" s="38"/>
      <c r="H252" s="272"/>
      <c r="I252" s="151"/>
      <c r="J252" s="41">
        <f t="shared" si="29"/>
        <v>0</v>
      </c>
      <c r="K252" s="41"/>
      <c r="L252" s="39"/>
      <c r="M252" s="39"/>
      <c r="N252" s="3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35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35"/>
      <c r="BG252" s="143"/>
    </row>
    <row r="253" spans="1:59" s="36" customFormat="1" ht="18.75" hidden="1" x14ac:dyDescent="0.25">
      <c r="A253" s="28" t="str">
        <f t="shared" si="30"/>
        <v/>
      </c>
      <c r="B253" s="29" t="s">
        <v>183</v>
      </c>
      <c r="C253" s="29"/>
      <c r="D253" s="244"/>
      <c r="E253" s="115"/>
      <c r="F253" s="244"/>
      <c r="G253" s="38"/>
      <c r="H253" s="272"/>
      <c r="I253" s="151"/>
      <c r="J253" s="41">
        <f t="shared" si="29"/>
        <v>0</v>
      </c>
      <c r="K253" s="41"/>
      <c r="L253" s="39"/>
      <c r="M253" s="39"/>
      <c r="N253" s="3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35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35"/>
      <c r="BG253" s="143"/>
    </row>
    <row r="254" spans="1:59" s="50" customFormat="1" ht="39" hidden="1" x14ac:dyDescent="0.25">
      <c r="A254" s="211" t="str">
        <f t="shared" si="30"/>
        <v/>
      </c>
      <c r="B254" s="29" t="s">
        <v>182</v>
      </c>
      <c r="C254" s="29"/>
      <c r="D254" s="256" t="s">
        <v>31</v>
      </c>
      <c r="E254" s="256"/>
      <c r="F254" s="256"/>
      <c r="G254" s="257" t="s">
        <v>18</v>
      </c>
      <c r="H254" s="328"/>
      <c r="I254" s="239"/>
      <c r="J254" s="241">
        <f t="shared" si="29"/>
        <v>0</v>
      </c>
      <c r="K254" s="241">
        <f>+K255</f>
        <v>0</v>
      </c>
      <c r="L254" s="241">
        <f>+L255</f>
        <v>0</v>
      </c>
      <c r="M254" s="241">
        <f>+M255</f>
        <v>0</v>
      </c>
      <c r="N254" s="33">
        <f>SUM(O254:W254)</f>
        <v>0</v>
      </c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35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35">
        <f>Y254+N254</f>
        <v>0</v>
      </c>
      <c r="BG254" s="143"/>
    </row>
    <row r="255" spans="1:59" s="50" customFormat="1" ht="39" hidden="1" x14ac:dyDescent="0.25">
      <c r="A255" s="211" t="str">
        <f t="shared" si="30"/>
        <v/>
      </c>
      <c r="B255" s="29" t="s">
        <v>182</v>
      </c>
      <c r="C255" s="29"/>
      <c r="D255" s="256" t="s">
        <v>32</v>
      </c>
      <c r="E255" s="256"/>
      <c r="F255" s="256"/>
      <c r="G255" s="257" t="s">
        <v>18</v>
      </c>
      <c r="H255" s="328"/>
      <c r="I255" s="239"/>
      <c r="J255" s="241">
        <f t="shared" si="29"/>
        <v>0</v>
      </c>
      <c r="K255" s="241">
        <f>SUM(K256)</f>
        <v>0</v>
      </c>
      <c r="L255" s="241">
        <f>SUM(L256)</f>
        <v>0</v>
      </c>
      <c r="M255" s="241">
        <f>SUM(M256)</f>
        <v>0</v>
      </c>
      <c r="N255" s="33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35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35"/>
      <c r="BG255" s="143"/>
    </row>
    <row r="256" spans="1:59" s="36" customFormat="1" ht="60" hidden="1" customHeight="1" x14ac:dyDescent="0.25">
      <c r="A256" s="211" t="str">
        <f t="shared" si="30"/>
        <v/>
      </c>
      <c r="B256" s="29" t="s">
        <v>182</v>
      </c>
      <c r="C256" s="29"/>
      <c r="D256" s="268" t="s">
        <v>232</v>
      </c>
      <c r="E256" s="244" t="s">
        <v>93</v>
      </c>
      <c r="F256" s="244" t="s">
        <v>94</v>
      </c>
      <c r="G256" s="456" t="s">
        <v>95</v>
      </c>
      <c r="H256" s="322"/>
      <c r="I256" s="323"/>
      <c r="J256" s="324">
        <f t="shared" si="29"/>
        <v>0</v>
      </c>
      <c r="K256" s="325"/>
      <c r="L256" s="325"/>
      <c r="M256" s="325"/>
      <c r="N256" s="33">
        <f>SUM(O256:W256)</f>
        <v>0</v>
      </c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35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35">
        <f>Y256+N256</f>
        <v>0</v>
      </c>
      <c r="BG256" s="143"/>
    </row>
    <row r="257" spans="1:59" s="97" customFormat="1" ht="42" hidden="1" customHeight="1" x14ac:dyDescent="0.3">
      <c r="A257" s="28" t="str">
        <f t="shared" si="30"/>
        <v/>
      </c>
      <c r="B257" s="132" t="s">
        <v>182</v>
      </c>
      <c r="C257" s="136"/>
      <c r="D257" s="273"/>
      <c r="E257" s="130"/>
      <c r="F257" s="274"/>
      <c r="G257" s="91" t="s">
        <v>23</v>
      </c>
      <c r="H257" s="343"/>
      <c r="I257" s="165"/>
      <c r="J257" s="170">
        <f t="shared" si="29"/>
        <v>0</v>
      </c>
      <c r="K257" s="37"/>
      <c r="L257" s="37"/>
      <c r="M257" s="37"/>
      <c r="N257" s="140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9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9"/>
      <c r="BG257" s="143"/>
    </row>
    <row r="258" spans="1:59" s="255" customFormat="1" ht="39" x14ac:dyDescent="0.3">
      <c r="A258" s="211" t="str">
        <f t="shared" si="30"/>
        <v>п</v>
      </c>
      <c r="B258" s="212" t="s">
        <v>13</v>
      </c>
      <c r="C258" s="29"/>
      <c r="D258" s="281" t="s">
        <v>168</v>
      </c>
      <c r="E258" s="256"/>
      <c r="F258" s="256"/>
      <c r="G258" s="257" t="s">
        <v>307</v>
      </c>
      <c r="H258" s="238"/>
      <c r="I258" s="239"/>
      <c r="J258" s="240">
        <f t="shared" si="29"/>
        <v>1873934</v>
      </c>
      <c r="K258" s="241">
        <f>+K259</f>
        <v>1873934</v>
      </c>
      <c r="L258" s="241">
        <f>+L259</f>
        <v>0</v>
      </c>
      <c r="M258" s="241">
        <f>+M259</f>
        <v>0</v>
      </c>
      <c r="N258" s="33">
        <f>SUM(O258:W258)</f>
        <v>0</v>
      </c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35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35">
        <f>Y258+N258</f>
        <v>0</v>
      </c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254"/>
    </row>
    <row r="259" spans="1:59" s="255" customFormat="1" ht="39" x14ac:dyDescent="0.3">
      <c r="A259" s="211" t="str">
        <f t="shared" si="30"/>
        <v>п</v>
      </c>
      <c r="B259" s="212" t="s">
        <v>13</v>
      </c>
      <c r="C259" s="29"/>
      <c r="D259" s="281" t="s">
        <v>169</v>
      </c>
      <c r="E259" s="256"/>
      <c r="F259" s="256"/>
      <c r="G259" s="257" t="s">
        <v>307</v>
      </c>
      <c r="H259" s="238"/>
      <c r="I259" s="239"/>
      <c r="J259" s="240">
        <f t="shared" si="29"/>
        <v>1873934</v>
      </c>
      <c r="K259" s="241">
        <f>SUM(K260:K265)-K263</f>
        <v>1873934</v>
      </c>
      <c r="L259" s="241">
        <f>SUM(L260:L265)-L263</f>
        <v>0</v>
      </c>
      <c r="M259" s="241">
        <f>SUM(M260:M265)-M263</f>
        <v>0</v>
      </c>
      <c r="N259" s="33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35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35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254"/>
    </row>
    <row r="260" spans="1:59" s="253" customFormat="1" ht="18.75" x14ac:dyDescent="0.3">
      <c r="A260" s="211" t="str">
        <f t="shared" si="30"/>
        <v>п</v>
      </c>
      <c r="B260" s="212" t="s">
        <v>13</v>
      </c>
      <c r="C260" s="29"/>
      <c r="D260" s="244" t="s">
        <v>200</v>
      </c>
      <c r="E260" s="244" t="s">
        <v>199</v>
      </c>
      <c r="F260" s="244" t="s">
        <v>28</v>
      </c>
      <c r="G260" s="245" t="s">
        <v>201</v>
      </c>
      <c r="H260" s="343"/>
      <c r="I260" s="277"/>
      <c r="J260" s="248">
        <f t="shared" si="29"/>
        <v>473934</v>
      </c>
      <c r="K260" s="249">
        <v>473934</v>
      </c>
      <c r="L260" s="263"/>
      <c r="M260" s="263"/>
      <c r="N260" s="3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35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35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254"/>
    </row>
    <row r="261" spans="1:59" s="36" customFormat="1" ht="18.75" hidden="1" x14ac:dyDescent="0.25">
      <c r="A261" s="28" t="str">
        <f t="shared" si="30"/>
        <v/>
      </c>
      <c r="B261" s="29" t="s">
        <v>13</v>
      </c>
      <c r="C261" s="29"/>
      <c r="D261" s="268" t="s">
        <v>144</v>
      </c>
      <c r="E261" s="115" t="s">
        <v>145</v>
      </c>
      <c r="F261" s="244" t="s">
        <v>105</v>
      </c>
      <c r="G261" s="38" t="s">
        <v>146</v>
      </c>
      <c r="H261" s="276"/>
      <c r="I261" s="165"/>
      <c r="J261" s="41">
        <f t="shared" si="29"/>
        <v>0</v>
      </c>
      <c r="K261" s="41"/>
      <c r="L261" s="39"/>
      <c r="M261" s="39"/>
      <c r="N261" s="3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35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35"/>
      <c r="BG261" s="143"/>
    </row>
    <row r="262" spans="1:59" s="253" customFormat="1" ht="39.75" customHeight="1" x14ac:dyDescent="0.3">
      <c r="A262" s="211" t="str">
        <f t="shared" si="30"/>
        <v>п</v>
      </c>
      <c r="B262" s="212" t="s">
        <v>13</v>
      </c>
      <c r="C262" s="29"/>
      <c r="D262" s="244" t="s">
        <v>263</v>
      </c>
      <c r="E262" s="244" t="s">
        <v>264</v>
      </c>
      <c r="F262" s="244" t="s">
        <v>265</v>
      </c>
      <c r="G262" s="245" t="s">
        <v>266</v>
      </c>
      <c r="H262" s="276"/>
      <c r="I262" s="277"/>
      <c r="J262" s="249">
        <f t="shared" si="29"/>
        <v>1400000</v>
      </c>
      <c r="K262" s="249">
        <v>1400000</v>
      </c>
      <c r="L262" s="263"/>
      <c r="M262" s="263"/>
      <c r="N262" s="3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35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35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254"/>
    </row>
    <row r="263" spans="1:59" s="97" customFormat="1" ht="42" hidden="1" customHeight="1" x14ac:dyDescent="0.3">
      <c r="A263" s="28" t="str">
        <f>IF(J263=0,"","п")</f>
        <v/>
      </c>
      <c r="B263" s="29" t="s">
        <v>13</v>
      </c>
      <c r="C263" s="136"/>
      <c r="D263" s="273"/>
      <c r="E263" s="130"/>
      <c r="F263" s="274"/>
      <c r="G263" s="91" t="s">
        <v>23</v>
      </c>
      <c r="H263" s="343"/>
      <c r="I263" s="165"/>
      <c r="J263" s="170">
        <f>+K263+L263</f>
        <v>0</v>
      </c>
      <c r="K263" s="37"/>
      <c r="L263" s="37"/>
      <c r="M263" s="37"/>
      <c r="N263" s="140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9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9"/>
      <c r="BG263" s="143"/>
    </row>
    <row r="264" spans="1:59" s="36" customFormat="1" ht="39.75" hidden="1" customHeight="1" x14ac:dyDescent="0.25">
      <c r="A264" s="28" t="str">
        <f>IF(J264=0,"","п")</f>
        <v/>
      </c>
      <c r="B264" s="29" t="s">
        <v>13</v>
      </c>
      <c r="C264" s="29"/>
      <c r="D264" s="244" t="s">
        <v>192</v>
      </c>
      <c r="E264" s="115" t="s">
        <v>193</v>
      </c>
      <c r="F264" s="244" t="s">
        <v>28</v>
      </c>
      <c r="G264" s="38" t="s">
        <v>194</v>
      </c>
      <c r="H264" s="276"/>
      <c r="I264" s="165"/>
      <c r="J264" s="41">
        <f>+K264+L264</f>
        <v>0</v>
      </c>
      <c r="K264" s="41"/>
      <c r="L264" s="39"/>
      <c r="M264" s="39"/>
      <c r="N264" s="3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35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35"/>
      <c r="BG264" s="143"/>
    </row>
    <row r="265" spans="1:59" s="36" customFormat="1" ht="18.75" hidden="1" x14ac:dyDescent="0.25">
      <c r="A265" s="28" t="str">
        <f t="shared" si="30"/>
        <v/>
      </c>
      <c r="B265" s="29" t="s">
        <v>13</v>
      </c>
      <c r="C265" s="29"/>
      <c r="D265" s="268"/>
      <c r="E265" s="115"/>
      <c r="F265" s="244"/>
      <c r="G265" s="38"/>
      <c r="H265" s="276"/>
      <c r="I265" s="165"/>
      <c r="J265" s="37">
        <f t="shared" ref="J265:J291" si="31">+K265+L265</f>
        <v>0</v>
      </c>
      <c r="K265" s="37"/>
      <c r="L265" s="39"/>
      <c r="M265" s="39"/>
      <c r="N265" s="33">
        <f>SUM(O265:W265)</f>
        <v>0</v>
      </c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35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35">
        <f>Y265+N265</f>
        <v>0</v>
      </c>
      <c r="BG265" s="143"/>
    </row>
    <row r="266" spans="1:59" s="255" customFormat="1" ht="58.5" x14ac:dyDescent="0.3">
      <c r="A266" s="211" t="str">
        <f t="shared" si="30"/>
        <v>п</v>
      </c>
      <c r="B266" s="212" t="s">
        <v>184</v>
      </c>
      <c r="C266" s="29"/>
      <c r="D266" s="281" t="s">
        <v>63</v>
      </c>
      <c r="E266" s="256"/>
      <c r="F266" s="256"/>
      <c r="G266" s="257" t="s">
        <v>9</v>
      </c>
      <c r="H266" s="238"/>
      <c r="I266" s="239"/>
      <c r="J266" s="240">
        <f t="shared" si="31"/>
        <v>27802108.789999999</v>
      </c>
      <c r="K266" s="241">
        <f>K267</f>
        <v>4357429</v>
      </c>
      <c r="L266" s="241">
        <f>L267</f>
        <v>23444679.789999999</v>
      </c>
      <c r="M266" s="241">
        <f>M267</f>
        <v>23444679.789999999</v>
      </c>
      <c r="N266" s="57">
        <f>SUM(O266:W266)</f>
        <v>0</v>
      </c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58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58">
        <f>Y266+N266</f>
        <v>0</v>
      </c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254"/>
    </row>
    <row r="267" spans="1:59" s="255" customFormat="1" ht="58.5" x14ac:dyDescent="0.3">
      <c r="A267" s="211" t="str">
        <f t="shared" si="30"/>
        <v>п</v>
      </c>
      <c r="B267" s="212" t="s">
        <v>184</v>
      </c>
      <c r="C267" s="29"/>
      <c r="D267" s="281" t="s">
        <v>64</v>
      </c>
      <c r="E267" s="256"/>
      <c r="F267" s="256"/>
      <c r="G267" s="257" t="s">
        <v>9</v>
      </c>
      <c r="H267" s="258"/>
      <c r="I267" s="259"/>
      <c r="J267" s="260">
        <f t="shared" si="31"/>
        <v>27802108.789999999</v>
      </c>
      <c r="K267" s="241">
        <f>SUM(K268:K290)-K287-K289-K285</f>
        <v>4357429</v>
      </c>
      <c r="L267" s="241">
        <f>SUM(L268:L290)-L287-L289-L285</f>
        <v>23444679.789999999</v>
      </c>
      <c r="M267" s="241">
        <f>SUM(M268:M290)-M287-M289-M285</f>
        <v>23444679.789999999</v>
      </c>
      <c r="N267" s="57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58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58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254"/>
    </row>
    <row r="268" spans="1:59" s="36" customFormat="1" ht="60.75" hidden="1" customHeight="1" x14ac:dyDescent="0.25">
      <c r="A268" s="28" t="str">
        <f t="shared" si="30"/>
        <v/>
      </c>
      <c r="B268" s="29" t="s">
        <v>184</v>
      </c>
      <c r="C268" s="133"/>
      <c r="D268" s="336" t="s">
        <v>92</v>
      </c>
      <c r="E268" s="128" t="s">
        <v>93</v>
      </c>
      <c r="F268" s="244" t="s">
        <v>94</v>
      </c>
      <c r="G268" s="54" t="s">
        <v>95</v>
      </c>
      <c r="H268" s="322"/>
      <c r="I268" s="163"/>
      <c r="J268" s="176">
        <f t="shared" si="31"/>
        <v>0</v>
      </c>
      <c r="K268" s="56"/>
      <c r="L268" s="56"/>
      <c r="M268" s="56"/>
      <c r="N268" s="77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60"/>
      <c r="Z268" s="78"/>
      <c r="AA268" s="78"/>
      <c r="AB268" s="78"/>
      <c r="AC268" s="78"/>
      <c r="AD268" s="78"/>
      <c r="AE268" s="78"/>
      <c r="AF268" s="78"/>
      <c r="AG268" s="78"/>
      <c r="AH268" s="78"/>
      <c r="AI268" s="78"/>
      <c r="AJ268" s="78"/>
      <c r="AK268" s="60"/>
      <c r="BG268" s="143"/>
    </row>
    <row r="269" spans="1:59" s="36" customFormat="1" ht="27" hidden="1" customHeight="1" x14ac:dyDescent="0.25">
      <c r="A269" s="28" t="str">
        <f t="shared" si="30"/>
        <v/>
      </c>
      <c r="B269" s="29" t="s">
        <v>184</v>
      </c>
      <c r="C269" s="29"/>
      <c r="D269" s="244" t="s">
        <v>81</v>
      </c>
      <c r="E269" s="115" t="s">
        <v>172</v>
      </c>
      <c r="F269" s="244" t="s">
        <v>160</v>
      </c>
      <c r="G269" s="38" t="s">
        <v>59</v>
      </c>
      <c r="H269" s="246"/>
      <c r="I269" s="151"/>
      <c r="J269" s="169">
        <f t="shared" si="31"/>
        <v>0</v>
      </c>
      <c r="K269" s="41"/>
      <c r="L269" s="39"/>
      <c r="M269" s="39"/>
      <c r="N269" s="33">
        <f>SUM(O269:W269)</f>
        <v>0</v>
      </c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35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35">
        <f>Y269+N269</f>
        <v>0</v>
      </c>
      <c r="BG269" s="143"/>
    </row>
    <row r="270" spans="1:59" s="36" customFormat="1" ht="43.5" hidden="1" customHeight="1" x14ac:dyDescent="0.25">
      <c r="A270" s="28" t="str">
        <f t="shared" si="30"/>
        <v/>
      </c>
      <c r="B270" s="29" t="s">
        <v>184</v>
      </c>
      <c r="C270" s="29"/>
      <c r="D270" s="243" t="s">
        <v>296</v>
      </c>
      <c r="E270" s="114" t="s">
        <v>287</v>
      </c>
      <c r="F270" s="244" t="s">
        <v>161</v>
      </c>
      <c r="G270" s="38" t="s">
        <v>288</v>
      </c>
      <c r="H270" s="246" t="s">
        <v>151</v>
      </c>
      <c r="I270" s="151"/>
      <c r="J270" s="169">
        <f t="shared" si="31"/>
        <v>0</v>
      </c>
      <c r="K270" s="41"/>
      <c r="L270" s="39"/>
      <c r="M270" s="39"/>
      <c r="N270" s="33">
        <f>SUM(O270:W270)</f>
        <v>0</v>
      </c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35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35">
        <f>Y270+N270</f>
        <v>0</v>
      </c>
      <c r="BG270" s="143"/>
    </row>
    <row r="271" spans="1:59" s="36" customFormat="1" ht="39.75" hidden="1" customHeight="1" x14ac:dyDescent="0.25">
      <c r="A271" s="28" t="str">
        <f t="shared" si="30"/>
        <v/>
      </c>
      <c r="B271" s="29" t="s">
        <v>184</v>
      </c>
      <c r="C271" s="137"/>
      <c r="D271" s="244" t="s">
        <v>82</v>
      </c>
      <c r="E271" s="115" t="s">
        <v>175</v>
      </c>
      <c r="F271" s="268" t="s">
        <v>164</v>
      </c>
      <c r="G271" s="54" t="s">
        <v>173</v>
      </c>
      <c r="H271" s="322"/>
      <c r="I271" s="163"/>
      <c r="J271" s="176">
        <f t="shared" si="31"/>
        <v>0</v>
      </c>
      <c r="K271" s="56"/>
      <c r="L271" s="56"/>
      <c r="M271" s="56"/>
      <c r="N271" s="76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3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3"/>
      <c r="BG271" s="143"/>
    </row>
    <row r="272" spans="1:59" s="36" customFormat="1" ht="38.25" hidden="1" customHeight="1" x14ac:dyDescent="0.25">
      <c r="A272" s="28" t="str">
        <f t="shared" si="30"/>
        <v/>
      </c>
      <c r="B272" s="29" t="s">
        <v>184</v>
      </c>
      <c r="C272" s="137"/>
      <c r="D272" s="243">
        <v>1212111</v>
      </c>
      <c r="E272" s="114" t="s">
        <v>43</v>
      </c>
      <c r="F272" s="244" t="s">
        <v>88</v>
      </c>
      <c r="G272" s="38" t="s">
        <v>44</v>
      </c>
      <c r="H272" s="332"/>
      <c r="I272" s="163"/>
      <c r="J272" s="56">
        <f t="shared" si="31"/>
        <v>0</v>
      </c>
      <c r="K272" s="56"/>
      <c r="L272" s="56"/>
      <c r="M272" s="56"/>
      <c r="N272" s="76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3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3"/>
      <c r="BG272" s="143"/>
    </row>
    <row r="273" spans="1:59" s="36" customFormat="1" ht="18.75" hidden="1" x14ac:dyDescent="0.25">
      <c r="A273" s="28" t="str">
        <f t="shared" si="30"/>
        <v/>
      </c>
      <c r="B273" s="29" t="s">
        <v>184</v>
      </c>
      <c r="C273" s="135"/>
      <c r="D273" s="268"/>
      <c r="E273" s="115"/>
      <c r="F273" s="244"/>
      <c r="G273" s="38"/>
      <c r="H273" s="272"/>
      <c r="I273" s="151"/>
      <c r="J273" s="41">
        <f t="shared" si="31"/>
        <v>0</v>
      </c>
      <c r="K273" s="41"/>
      <c r="L273" s="41">
        <f>300000-300000</f>
        <v>0</v>
      </c>
      <c r="M273" s="41">
        <f>300000-300000</f>
        <v>0</v>
      </c>
      <c r="N273" s="3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35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35"/>
      <c r="BG273" s="143"/>
    </row>
    <row r="274" spans="1:59" s="36" customFormat="1" ht="19.5" hidden="1" customHeight="1" x14ac:dyDescent="0.25">
      <c r="A274" s="28" t="str">
        <f t="shared" si="30"/>
        <v/>
      </c>
      <c r="B274" s="29" t="s">
        <v>184</v>
      </c>
      <c r="C274" s="29"/>
      <c r="D274" s="272"/>
      <c r="E274" s="125"/>
      <c r="F274" s="244"/>
      <c r="G274" s="38"/>
      <c r="H274" s="332"/>
      <c r="I274" s="163"/>
      <c r="J274" s="56">
        <f t="shared" si="31"/>
        <v>0</v>
      </c>
      <c r="K274" s="56"/>
      <c r="L274" s="56">
        <f>1000000-1000000</f>
        <v>0</v>
      </c>
      <c r="M274" s="56">
        <f>1000000-1000000</f>
        <v>0</v>
      </c>
      <c r="N274" s="57"/>
      <c r="O274" s="59"/>
      <c r="P274" s="60"/>
      <c r="Q274" s="60"/>
      <c r="R274" s="60"/>
      <c r="S274" s="60"/>
      <c r="T274" s="60"/>
      <c r="U274" s="60"/>
      <c r="V274" s="60"/>
      <c r="W274" s="60"/>
      <c r="X274" s="60"/>
      <c r="Y274" s="58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58"/>
      <c r="BG274" s="143"/>
    </row>
    <row r="275" spans="1:59" s="36" customFormat="1" ht="37.5" hidden="1" customHeight="1" x14ac:dyDescent="0.25">
      <c r="A275" s="28" t="str">
        <f t="shared" si="30"/>
        <v/>
      </c>
      <c r="B275" s="29" t="s">
        <v>184</v>
      </c>
      <c r="C275" s="29"/>
      <c r="D275" s="272"/>
      <c r="E275" s="131"/>
      <c r="F275" s="336"/>
      <c r="G275" s="54"/>
      <c r="H275" s="439"/>
      <c r="I275" s="166"/>
      <c r="J275" s="56">
        <f t="shared" si="31"/>
        <v>0</v>
      </c>
      <c r="K275" s="56">
        <f>2398131-2398131</f>
        <v>0</v>
      </c>
      <c r="L275" s="56"/>
      <c r="M275" s="56"/>
      <c r="N275" s="57">
        <f>SUM(O275:W275)</f>
        <v>0</v>
      </c>
      <c r="O275" s="59"/>
      <c r="P275" s="60"/>
      <c r="Q275" s="60"/>
      <c r="R275" s="60"/>
      <c r="S275" s="60"/>
      <c r="T275" s="60"/>
      <c r="U275" s="60"/>
      <c r="V275" s="60"/>
      <c r="W275" s="60"/>
      <c r="X275" s="60"/>
      <c r="Y275" s="58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58">
        <f>Y275+N275</f>
        <v>0</v>
      </c>
      <c r="BG275" s="143"/>
    </row>
    <row r="276" spans="1:59" s="36" customFormat="1" ht="39.75" customHeight="1" x14ac:dyDescent="0.25">
      <c r="A276" s="28" t="str">
        <f t="shared" si="30"/>
        <v>п</v>
      </c>
      <c r="B276" s="29" t="s">
        <v>184</v>
      </c>
      <c r="C276" s="133"/>
      <c r="D276" s="243">
        <v>1216017</v>
      </c>
      <c r="E276" s="243">
        <v>6017</v>
      </c>
      <c r="F276" s="244" t="s">
        <v>154</v>
      </c>
      <c r="G276" s="245" t="s">
        <v>134</v>
      </c>
      <c r="H276" s="332"/>
      <c r="I276" s="323"/>
      <c r="J276" s="325">
        <f t="shared" si="31"/>
        <v>240000</v>
      </c>
      <c r="K276" s="325">
        <v>240000</v>
      </c>
      <c r="L276" s="325"/>
      <c r="M276" s="325"/>
      <c r="N276" s="77"/>
      <c r="O276" s="59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BG276" s="143"/>
    </row>
    <row r="277" spans="1:59" s="36" customFormat="1" ht="52.5" hidden="1" customHeight="1" x14ac:dyDescent="0.25">
      <c r="A277" s="28" t="str">
        <f t="shared" si="30"/>
        <v/>
      </c>
      <c r="B277" s="29" t="s">
        <v>184</v>
      </c>
      <c r="C277" s="29"/>
      <c r="D277" s="332" t="s">
        <v>71</v>
      </c>
      <c r="E277" s="332" t="s">
        <v>72</v>
      </c>
      <c r="F277" s="244" t="s">
        <v>154</v>
      </c>
      <c r="G277" s="245" t="s">
        <v>73</v>
      </c>
      <c r="H277" s="322"/>
      <c r="I277" s="323"/>
      <c r="J277" s="324">
        <f t="shared" si="31"/>
        <v>0</v>
      </c>
      <c r="K277" s="325">
        <f>15000-15000</f>
        <v>0</v>
      </c>
      <c r="L277" s="325"/>
      <c r="M277" s="325"/>
      <c r="N277" s="57">
        <f>SUM(O277:W277)</f>
        <v>0</v>
      </c>
      <c r="O277" s="59"/>
      <c r="P277" s="60"/>
      <c r="Q277" s="60"/>
      <c r="R277" s="60"/>
      <c r="S277" s="60"/>
      <c r="T277" s="60"/>
      <c r="U277" s="60"/>
      <c r="V277" s="60"/>
      <c r="W277" s="60"/>
      <c r="X277" s="60"/>
      <c r="Y277" s="58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58">
        <f>Y277+N277</f>
        <v>0</v>
      </c>
      <c r="BG277" s="143"/>
    </row>
    <row r="278" spans="1:59" s="36" customFormat="1" ht="39.75" hidden="1" customHeight="1" x14ac:dyDescent="0.25">
      <c r="A278" s="28" t="str">
        <f t="shared" si="30"/>
        <v/>
      </c>
      <c r="B278" s="29" t="s">
        <v>184</v>
      </c>
      <c r="C278" s="29"/>
      <c r="D278" s="272" t="s">
        <v>229</v>
      </c>
      <c r="E278" s="272" t="s">
        <v>230</v>
      </c>
      <c r="F278" s="244" t="s">
        <v>214</v>
      </c>
      <c r="G278" s="245" t="s">
        <v>231</v>
      </c>
      <c r="H278" s="246"/>
      <c r="I278" s="247"/>
      <c r="J278" s="248">
        <f t="shared" si="31"/>
        <v>0</v>
      </c>
      <c r="K278" s="249"/>
      <c r="L278" s="249"/>
      <c r="M278" s="249"/>
      <c r="N278" s="57"/>
      <c r="O278" s="59"/>
      <c r="P278" s="60"/>
      <c r="Q278" s="60"/>
      <c r="R278" s="60"/>
      <c r="S278" s="60"/>
      <c r="T278" s="60"/>
      <c r="U278" s="60"/>
      <c r="V278" s="60"/>
      <c r="W278" s="60"/>
      <c r="X278" s="60"/>
      <c r="Y278" s="58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58"/>
      <c r="BG278" s="143"/>
    </row>
    <row r="279" spans="1:59" s="36" customFormat="1" ht="39.75" hidden="1" customHeight="1" x14ac:dyDescent="0.25">
      <c r="A279" s="28" t="str">
        <f>IF(J279=0,"","п")</f>
        <v/>
      </c>
      <c r="B279" s="29" t="s">
        <v>184</v>
      </c>
      <c r="C279" s="29"/>
      <c r="D279" s="272" t="s">
        <v>65</v>
      </c>
      <c r="E279" s="272" t="s">
        <v>66</v>
      </c>
      <c r="F279" s="244" t="s">
        <v>154</v>
      </c>
      <c r="G279" s="245" t="s">
        <v>67</v>
      </c>
      <c r="H279" s="246"/>
      <c r="I279" s="247"/>
      <c r="J279" s="248">
        <f t="shared" si="31"/>
        <v>0</v>
      </c>
      <c r="K279" s="249"/>
      <c r="L279" s="249"/>
      <c r="M279" s="249"/>
      <c r="N279" s="57"/>
      <c r="O279" s="59"/>
      <c r="P279" s="60"/>
      <c r="Q279" s="60"/>
      <c r="R279" s="60"/>
      <c r="S279" s="60"/>
      <c r="T279" s="60"/>
      <c r="U279" s="60"/>
      <c r="V279" s="60"/>
      <c r="W279" s="60"/>
      <c r="X279" s="60"/>
      <c r="Y279" s="58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58"/>
      <c r="BG279" s="143"/>
    </row>
    <row r="280" spans="1:59" s="253" customFormat="1" ht="37.5" x14ac:dyDescent="0.3">
      <c r="A280" s="211" t="str">
        <f t="shared" si="30"/>
        <v>п</v>
      </c>
      <c r="B280" s="212" t="s">
        <v>184</v>
      </c>
      <c r="C280" s="29"/>
      <c r="D280" s="332" t="s">
        <v>83</v>
      </c>
      <c r="E280" s="332" t="s">
        <v>84</v>
      </c>
      <c r="F280" s="244" t="s">
        <v>157</v>
      </c>
      <c r="G280" s="333" t="s">
        <v>85</v>
      </c>
      <c r="H280" s="322"/>
      <c r="I280" s="323"/>
      <c r="J280" s="324">
        <f>+K280+L280</f>
        <v>6151789.79</v>
      </c>
      <c r="K280" s="325"/>
      <c r="L280" s="325">
        <f>8597000-644900-54183.96-2046126.25+300000</f>
        <v>6151789.79</v>
      </c>
      <c r="M280" s="325">
        <f>8597000-644900-54183.96-2046126.25+300000</f>
        <v>6151789.79</v>
      </c>
      <c r="N280" s="57">
        <f>SUM(O280:W280)</f>
        <v>0</v>
      </c>
      <c r="O280" s="59"/>
      <c r="P280" s="60"/>
      <c r="Q280" s="60"/>
      <c r="R280" s="60"/>
      <c r="S280" s="60"/>
      <c r="T280" s="60"/>
      <c r="U280" s="60"/>
      <c r="V280" s="60"/>
      <c r="W280" s="60"/>
      <c r="X280" s="60"/>
      <c r="Y280" s="58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58">
        <f>Y280+N280</f>
        <v>0</v>
      </c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254"/>
    </row>
    <row r="281" spans="1:59" s="253" customFormat="1" ht="23.25" customHeight="1" x14ac:dyDescent="0.3">
      <c r="A281" s="211" t="str">
        <f t="shared" si="30"/>
        <v>п</v>
      </c>
      <c r="B281" s="212" t="s">
        <v>184</v>
      </c>
      <c r="C281" s="29"/>
      <c r="D281" s="332" t="s">
        <v>186</v>
      </c>
      <c r="E281" s="332" t="s">
        <v>187</v>
      </c>
      <c r="F281" s="336" t="s">
        <v>157</v>
      </c>
      <c r="G281" s="344" t="s">
        <v>188</v>
      </c>
      <c r="H281" s="332"/>
      <c r="I281" s="323"/>
      <c r="J281" s="324">
        <f t="shared" si="31"/>
        <v>11048000</v>
      </c>
      <c r="K281" s="325"/>
      <c r="L281" s="325">
        <f>11048000</f>
        <v>11048000</v>
      </c>
      <c r="M281" s="325">
        <v>11048000</v>
      </c>
      <c r="N281" s="57"/>
      <c r="O281" s="59"/>
      <c r="P281" s="60"/>
      <c r="Q281" s="60"/>
      <c r="R281" s="60"/>
      <c r="S281" s="60"/>
      <c r="T281" s="60"/>
      <c r="U281" s="60"/>
      <c r="V281" s="60"/>
      <c r="W281" s="60"/>
      <c r="X281" s="60"/>
      <c r="Y281" s="58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58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254"/>
    </row>
    <row r="282" spans="1:59" s="36" customFormat="1" ht="24" hidden="1" customHeight="1" x14ac:dyDescent="0.25">
      <c r="A282" s="28" t="str">
        <f t="shared" si="30"/>
        <v/>
      </c>
      <c r="B282" s="29" t="s">
        <v>184</v>
      </c>
      <c r="C282" s="29"/>
      <c r="D282" s="332">
        <v>1217322</v>
      </c>
      <c r="E282" s="332">
        <v>7322</v>
      </c>
      <c r="F282" s="336" t="s">
        <v>157</v>
      </c>
      <c r="G282" s="344" t="s">
        <v>91</v>
      </c>
      <c r="H282" s="322"/>
      <c r="I282" s="323"/>
      <c r="J282" s="324">
        <f t="shared" si="31"/>
        <v>0</v>
      </c>
      <c r="K282" s="325"/>
      <c r="L282" s="503"/>
      <c r="M282" s="503"/>
      <c r="N282" s="57">
        <f>SUM(O282:W282)</f>
        <v>0</v>
      </c>
      <c r="O282" s="59"/>
      <c r="P282" s="60"/>
      <c r="Q282" s="60"/>
      <c r="R282" s="60"/>
      <c r="S282" s="60"/>
      <c r="T282" s="60"/>
      <c r="U282" s="60"/>
      <c r="V282" s="60"/>
      <c r="W282" s="60"/>
      <c r="X282" s="60"/>
      <c r="Y282" s="58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58">
        <f>Y282+N282</f>
        <v>0</v>
      </c>
      <c r="BG282" s="143"/>
    </row>
    <row r="283" spans="1:59" s="36" customFormat="1" ht="18.75" hidden="1" x14ac:dyDescent="0.25">
      <c r="A283" s="28" t="str">
        <f>IF(J283=0,"","п")</f>
        <v/>
      </c>
      <c r="B283" s="29" t="s">
        <v>184</v>
      </c>
      <c r="C283" s="29"/>
      <c r="D283" s="332"/>
      <c r="E283" s="332"/>
      <c r="F283" s="336"/>
      <c r="G283" s="344"/>
      <c r="H283" s="322"/>
      <c r="I283" s="323"/>
      <c r="J283" s="324">
        <f t="shared" si="31"/>
        <v>0</v>
      </c>
      <c r="K283" s="325"/>
      <c r="L283" s="503"/>
      <c r="M283" s="503"/>
      <c r="N283" s="57">
        <f>SUM(O283:W283)</f>
        <v>0</v>
      </c>
      <c r="O283" s="59"/>
      <c r="P283" s="60"/>
      <c r="Q283" s="60"/>
      <c r="R283" s="60"/>
      <c r="S283" s="60"/>
      <c r="T283" s="60"/>
      <c r="U283" s="60"/>
      <c r="V283" s="60"/>
      <c r="W283" s="60"/>
      <c r="X283" s="60"/>
      <c r="Y283" s="58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58">
        <f>Y283+N283</f>
        <v>0</v>
      </c>
      <c r="BG283" s="143"/>
    </row>
    <row r="284" spans="1:59" s="291" customFormat="1" ht="28.5" customHeight="1" x14ac:dyDescent="0.3">
      <c r="A284" s="211" t="str">
        <f t="shared" si="30"/>
        <v>п</v>
      </c>
      <c r="B284" s="270" t="s">
        <v>184</v>
      </c>
      <c r="C284" s="132"/>
      <c r="D284" s="332">
        <v>1217330</v>
      </c>
      <c r="E284" s="332">
        <v>7330</v>
      </c>
      <c r="F284" s="336" t="s">
        <v>157</v>
      </c>
      <c r="G284" s="344" t="s">
        <v>260</v>
      </c>
      <c r="H284" s="322"/>
      <c r="I284" s="323"/>
      <c r="J284" s="324">
        <f t="shared" si="31"/>
        <v>3650000</v>
      </c>
      <c r="K284" s="325"/>
      <c r="L284" s="325">
        <f>1450000+1450000+750000</f>
        <v>3650000</v>
      </c>
      <c r="M284" s="325">
        <f>1450000+1450000+750000</f>
        <v>3650000</v>
      </c>
      <c r="N284" s="107"/>
      <c r="O284" s="108"/>
      <c r="P284" s="109"/>
      <c r="Q284" s="109"/>
      <c r="R284" s="109"/>
      <c r="S284" s="109"/>
      <c r="T284" s="109"/>
      <c r="U284" s="109"/>
      <c r="V284" s="109"/>
      <c r="W284" s="109"/>
      <c r="X284" s="109"/>
      <c r="Y284" s="110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10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254"/>
    </row>
    <row r="285" spans="1:59" s="253" customFormat="1" ht="24.75" customHeight="1" x14ac:dyDescent="0.3">
      <c r="A285" s="211" t="str">
        <f>IF(J285=0,"","п")</f>
        <v>п</v>
      </c>
      <c r="B285" s="212" t="s">
        <v>184</v>
      </c>
      <c r="C285" s="29"/>
      <c r="D285" s="345"/>
      <c r="E285" s="345"/>
      <c r="F285" s="346"/>
      <c r="G285" s="275" t="s">
        <v>147</v>
      </c>
      <c r="H285" s="347"/>
      <c r="I285" s="348"/>
      <c r="J285" s="349">
        <f t="shared" si="31"/>
        <v>1450000</v>
      </c>
      <c r="K285" s="350"/>
      <c r="L285" s="350">
        <v>1450000</v>
      </c>
      <c r="M285" s="350">
        <v>1450000</v>
      </c>
      <c r="N285" s="57"/>
      <c r="O285" s="59"/>
      <c r="P285" s="60"/>
      <c r="Q285" s="60"/>
      <c r="R285" s="60"/>
      <c r="S285" s="60"/>
      <c r="T285" s="60"/>
      <c r="U285" s="60"/>
      <c r="V285" s="60"/>
      <c r="W285" s="60"/>
      <c r="X285" s="60"/>
      <c r="Y285" s="58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58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254"/>
    </row>
    <row r="286" spans="1:59" s="36" customFormat="1" ht="61.5" hidden="1" customHeight="1" x14ac:dyDescent="0.3">
      <c r="A286" s="28" t="str">
        <f t="shared" si="30"/>
        <v/>
      </c>
      <c r="B286" s="29" t="s">
        <v>184</v>
      </c>
      <c r="C286" s="29"/>
      <c r="D286" s="332" t="s">
        <v>96</v>
      </c>
      <c r="E286" s="131" t="s">
        <v>97</v>
      </c>
      <c r="F286" s="336" t="s">
        <v>156</v>
      </c>
      <c r="G286" s="54" t="s">
        <v>98</v>
      </c>
      <c r="H286" s="253"/>
      <c r="I286" s="125"/>
      <c r="J286" s="176">
        <f t="shared" si="31"/>
        <v>0</v>
      </c>
      <c r="K286" s="90"/>
      <c r="L286" s="56"/>
      <c r="M286" s="56"/>
      <c r="N286" s="57"/>
      <c r="O286" s="59"/>
      <c r="P286" s="60"/>
      <c r="Q286" s="60"/>
      <c r="R286" s="60"/>
      <c r="S286" s="60"/>
      <c r="T286" s="60"/>
      <c r="U286" s="60"/>
      <c r="V286" s="60"/>
      <c r="W286" s="60"/>
      <c r="X286" s="60"/>
      <c r="Y286" s="58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58"/>
      <c r="BG286" s="143"/>
    </row>
    <row r="287" spans="1:59" s="36" customFormat="1" ht="41.25" hidden="1" customHeight="1" x14ac:dyDescent="0.3">
      <c r="A287" s="28" t="str">
        <f t="shared" si="30"/>
        <v/>
      </c>
      <c r="B287" s="29" t="s">
        <v>184</v>
      </c>
      <c r="C287" s="29"/>
      <c r="D287" s="345"/>
      <c r="E287" s="141"/>
      <c r="F287" s="346"/>
      <c r="G287" s="91" t="s">
        <v>221</v>
      </c>
      <c r="H287" s="347"/>
      <c r="I287" s="162"/>
      <c r="J287" s="176">
        <f t="shared" si="31"/>
        <v>0</v>
      </c>
      <c r="K287" s="93"/>
      <c r="L287" s="93"/>
      <c r="M287" s="93"/>
      <c r="N287" s="57"/>
      <c r="O287" s="59"/>
      <c r="P287" s="60"/>
      <c r="Q287" s="60"/>
      <c r="R287" s="60"/>
      <c r="S287" s="60"/>
      <c r="T287" s="60"/>
      <c r="U287" s="60"/>
      <c r="V287" s="60"/>
      <c r="W287" s="60"/>
      <c r="X287" s="60"/>
      <c r="Y287" s="58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58"/>
      <c r="BG287" s="143"/>
    </row>
    <row r="288" spans="1:59" s="36" customFormat="1" ht="38.25" hidden="1" customHeight="1" x14ac:dyDescent="0.25">
      <c r="A288" s="28" t="str">
        <f t="shared" si="30"/>
        <v/>
      </c>
      <c r="B288" s="29" t="s">
        <v>184</v>
      </c>
      <c r="C288" s="29"/>
      <c r="D288" s="332">
        <v>1217366</v>
      </c>
      <c r="E288" s="131">
        <v>7366</v>
      </c>
      <c r="F288" s="336" t="s">
        <v>156</v>
      </c>
      <c r="G288" s="54" t="s">
        <v>106</v>
      </c>
      <c r="H288" s="322"/>
      <c r="I288" s="163"/>
      <c r="J288" s="176">
        <f t="shared" si="31"/>
        <v>0</v>
      </c>
      <c r="K288" s="56"/>
      <c r="L288" s="56">
        <f>400000+4316635+863327-5179962-400000</f>
        <v>0</v>
      </c>
      <c r="M288" s="56">
        <f>400000+4316635+863327-5179962-400000</f>
        <v>0</v>
      </c>
      <c r="N288" s="57"/>
      <c r="O288" s="59"/>
      <c r="P288" s="60"/>
      <c r="Q288" s="60"/>
      <c r="R288" s="60"/>
      <c r="S288" s="60"/>
      <c r="T288" s="60"/>
      <c r="U288" s="60"/>
      <c r="V288" s="60"/>
      <c r="W288" s="60"/>
      <c r="X288" s="60"/>
      <c r="Y288" s="58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58"/>
      <c r="BG288" s="143"/>
    </row>
    <row r="289" spans="1:59" s="36" customFormat="1" ht="41.25" hidden="1" customHeight="1" x14ac:dyDescent="0.3">
      <c r="A289" s="28" t="str">
        <f t="shared" si="30"/>
        <v/>
      </c>
      <c r="B289" s="29" t="s">
        <v>184</v>
      </c>
      <c r="C289" s="29"/>
      <c r="D289" s="345"/>
      <c r="E289" s="141"/>
      <c r="F289" s="346"/>
      <c r="G289" s="91" t="s">
        <v>221</v>
      </c>
      <c r="H289" s="347"/>
      <c r="I289" s="162"/>
      <c r="J289" s="175">
        <f t="shared" si="31"/>
        <v>0</v>
      </c>
      <c r="K289" s="93"/>
      <c r="L289" s="93">
        <f>4316635+863327-5179962</f>
        <v>0</v>
      </c>
      <c r="M289" s="93">
        <f>4316635+863327-5179962</f>
        <v>0</v>
      </c>
      <c r="N289" s="57"/>
      <c r="O289" s="59"/>
      <c r="P289" s="60"/>
      <c r="Q289" s="60"/>
      <c r="R289" s="60"/>
      <c r="S289" s="60"/>
      <c r="T289" s="60"/>
      <c r="U289" s="60"/>
      <c r="V289" s="60"/>
      <c r="W289" s="60"/>
      <c r="X289" s="60"/>
      <c r="Y289" s="58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58"/>
      <c r="BG289" s="143"/>
    </row>
    <row r="290" spans="1:59" s="253" customFormat="1" ht="40.5" customHeight="1" thickBot="1" x14ac:dyDescent="0.35">
      <c r="A290" s="211" t="str">
        <f t="shared" si="30"/>
        <v>п</v>
      </c>
      <c r="B290" s="212" t="s">
        <v>184</v>
      </c>
      <c r="C290" s="29"/>
      <c r="D290" s="244" t="s">
        <v>202</v>
      </c>
      <c r="E290" s="272">
        <v>7461</v>
      </c>
      <c r="F290" s="244" t="s">
        <v>158</v>
      </c>
      <c r="G290" s="333" t="s">
        <v>203</v>
      </c>
      <c r="H290" s="246"/>
      <c r="I290" s="323"/>
      <c r="J290" s="324">
        <f t="shared" si="31"/>
        <v>6712319</v>
      </c>
      <c r="K290" s="325">
        <v>4117429</v>
      </c>
      <c r="L290" s="325">
        <f>1900000+644900+49990</f>
        <v>2594890</v>
      </c>
      <c r="M290" s="325">
        <f>1900000+644900+49990</f>
        <v>2594890</v>
      </c>
      <c r="N290" s="57">
        <f>SUM(O290:W290)</f>
        <v>0</v>
      </c>
      <c r="O290" s="59"/>
      <c r="P290" s="60"/>
      <c r="Q290" s="60"/>
      <c r="R290" s="60"/>
      <c r="S290" s="60"/>
      <c r="T290" s="60"/>
      <c r="U290" s="60"/>
      <c r="V290" s="60"/>
      <c r="W290" s="60"/>
      <c r="X290" s="60"/>
      <c r="Y290" s="58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58">
        <f>Y290+N290</f>
        <v>0</v>
      </c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254"/>
    </row>
    <row r="291" spans="1:59" s="50" customFormat="1" ht="36.75" hidden="1" thickBot="1" x14ac:dyDescent="0.3">
      <c r="A291" s="28" t="str">
        <f t="shared" si="30"/>
        <v/>
      </c>
      <c r="B291" s="29" t="s">
        <v>185</v>
      </c>
      <c r="C291" s="29"/>
      <c r="D291" s="256" t="s">
        <v>252</v>
      </c>
      <c r="E291" s="119"/>
      <c r="F291" s="256"/>
      <c r="G291" s="67" t="s">
        <v>253</v>
      </c>
      <c r="H291" s="328"/>
      <c r="I291" s="159"/>
      <c r="J291" s="71">
        <f t="shared" si="31"/>
        <v>0</v>
      </c>
      <c r="K291" s="71">
        <f>+K292</f>
        <v>0</v>
      </c>
      <c r="L291" s="71">
        <f>+L292</f>
        <v>0</v>
      </c>
      <c r="M291" s="71">
        <f>+M292</f>
        <v>0</v>
      </c>
      <c r="N291" s="33">
        <f>SUM(O291:W291)</f>
        <v>0</v>
      </c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35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35">
        <f>Y291+N291</f>
        <v>0</v>
      </c>
      <c r="BG291" s="143"/>
    </row>
    <row r="292" spans="1:59" s="50" customFormat="1" ht="36.75" hidden="1" thickBot="1" x14ac:dyDescent="0.3">
      <c r="A292" s="28" t="str">
        <f t="shared" si="30"/>
        <v/>
      </c>
      <c r="B292" s="29" t="s">
        <v>185</v>
      </c>
      <c r="C292" s="29"/>
      <c r="D292" s="256" t="s">
        <v>254</v>
      </c>
      <c r="E292" s="119"/>
      <c r="F292" s="256"/>
      <c r="G292" s="67" t="s">
        <v>253</v>
      </c>
      <c r="H292" s="328"/>
      <c r="I292" s="159"/>
      <c r="J292" s="71">
        <f>+K292+L292</f>
        <v>0</v>
      </c>
      <c r="K292" s="71">
        <f>SUM(K293)</f>
        <v>0</v>
      </c>
      <c r="L292" s="71">
        <f>SUM(L293)</f>
        <v>0</v>
      </c>
      <c r="M292" s="71">
        <f>SUM(M293)</f>
        <v>0</v>
      </c>
      <c r="N292" s="33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35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35"/>
      <c r="BG292" s="143"/>
    </row>
    <row r="293" spans="1:59" s="36" customFormat="1" ht="57.75" hidden="1" customHeight="1" x14ac:dyDescent="0.25">
      <c r="A293" s="28" t="str">
        <f t="shared" si="30"/>
        <v/>
      </c>
      <c r="B293" s="29" t="s">
        <v>185</v>
      </c>
      <c r="C293" s="29"/>
      <c r="D293" s="268" t="s">
        <v>255</v>
      </c>
      <c r="E293" s="115" t="s">
        <v>93</v>
      </c>
      <c r="F293" s="244" t="s">
        <v>94</v>
      </c>
      <c r="G293" s="54" t="s">
        <v>95</v>
      </c>
      <c r="H293" s="322"/>
      <c r="I293" s="163"/>
      <c r="J293" s="176">
        <f>+K293+L293</f>
        <v>0</v>
      </c>
      <c r="K293" s="56"/>
      <c r="L293" s="56"/>
      <c r="M293" s="56"/>
      <c r="N293" s="33">
        <f>SUM(O293:W293)</f>
        <v>0</v>
      </c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35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35">
        <f>Y293+N293</f>
        <v>0</v>
      </c>
      <c r="BG293" s="143"/>
    </row>
    <row r="294" spans="1:59" s="97" customFormat="1" ht="42" hidden="1" customHeight="1" thickBot="1" x14ac:dyDescent="0.35">
      <c r="A294" s="28" t="str">
        <f t="shared" si="30"/>
        <v/>
      </c>
      <c r="B294" s="132" t="s">
        <v>185</v>
      </c>
      <c r="C294" s="136"/>
      <c r="D294" s="273"/>
      <c r="E294" s="130"/>
      <c r="F294" s="274"/>
      <c r="G294" s="91" t="s">
        <v>23</v>
      </c>
      <c r="H294" s="343"/>
      <c r="I294" s="165"/>
      <c r="J294" s="170">
        <f>+K294+L294</f>
        <v>0</v>
      </c>
      <c r="K294" s="37"/>
      <c r="L294" s="37"/>
      <c r="M294" s="37"/>
      <c r="N294" s="140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9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9"/>
      <c r="BG294" s="143"/>
    </row>
    <row r="295" spans="1:59" s="361" customFormat="1" ht="19.5" thickBot="1" x14ac:dyDescent="0.35">
      <c r="A295" s="211" t="str">
        <f t="shared" si="30"/>
        <v>п</v>
      </c>
      <c r="B295" s="212"/>
      <c r="C295" s="29"/>
      <c r="D295" s="522" t="s">
        <v>4</v>
      </c>
      <c r="E295" s="523"/>
      <c r="F295" s="523"/>
      <c r="G295" s="524"/>
      <c r="H295" s="352"/>
      <c r="I295" s="353"/>
      <c r="J295" s="354">
        <f>+K295+L295</f>
        <v>124137259</v>
      </c>
      <c r="K295" s="354">
        <f>+K8+K22+K31+K39+K43+K50+K55+K69+K75+K101+K123+K127+K131+K135+K145+K173+K178+K182+K186+K190+K194+K198+K204+K208+K212+K217+K35+K119</f>
        <v>88467993.959999993</v>
      </c>
      <c r="L295" s="354">
        <f>+L8+L22+L31+L39+L43+L50+L55+L69+L75+L101+L123+L127+L131+L135+L145+L173+L178+L182+L186+L190+L194+L198+L204+L208+L212+L217+L35+L119</f>
        <v>35669265.039999999</v>
      </c>
      <c r="M295" s="354">
        <f>+M8+M22+M31+M39+M43+M50+M55+M69+M75+M101+M123+M127+M131+M135+M145+M173+M178+M182+M186+M190+M194+M198+M204+M208+M212+M217+M35+M119</f>
        <v>35549265.039999999</v>
      </c>
      <c r="N295" s="61" t="e">
        <f>N8+N22+#REF!+N39+N50+N55+N75+#REF!+N101+#REF!+N145+N173+N123+N127+N182+#REF!+N69+N212+N217</f>
        <v>#REF!</v>
      </c>
      <c r="O295" s="62" t="e">
        <f>O8+O22+#REF!+O39+O50+O55+O75+#REF!+O101+#REF!+O145+O173+O123+O127+O182+#REF!+O69+O212+O217</f>
        <v>#REF!</v>
      </c>
      <c r="P295" s="62" t="e">
        <f>P8+P22+#REF!+P39+P50+P55+P75+#REF!+P101+#REF!+P145+P173+P123+P127+P182+#REF!+P69+P212+P217</f>
        <v>#REF!</v>
      </c>
      <c r="Q295" s="62" t="e">
        <f>Q8+Q22+#REF!+Q39+Q50+Q55+Q75+#REF!+Q101+#REF!+Q145+Q173+Q123+Q127+Q182+#REF!+Q69+Q212+Q217</f>
        <v>#REF!</v>
      </c>
      <c r="R295" s="62" t="e">
        <f>R8+R22+#REF!+R39+R50+R55+R75+#REF!+R101+#REF!+R145+R173+R123+R127+R182+#REF!+R69+R212+R217</f>
        <v>#REF!</v>
      </c>
      <c r="S295" s="62" t="e">
        <f>S8+S22+#REF!+S39+S50+S55+S75+#REF!+S101+#REF!+S145+S173+S123+S127+S182+#REF!+S69+S212+S217</f>
        <v>#REF!</v>
      </c>
      <c r="T295" s="62" t="e">
        <f>T8+T22+#REF!+T39+T50+T55+T75+#REF!+T101+#REF!+T145+T173+T123+T127+T182+#REF!+T69+T212+T217</f>
        <v>#REF!</v>
      </c>
      <c r="U295" s="62" t="e">
        <f>U8+U22+#REF!+U39+U50+U55+U75+#REF!+U101+#REF!+U145+U173+U123+U127+U182+#REF!+U69+U212+U217</f>
        <v>#REF!</v>
      </c>
      <c r="V295" s="62" t="e">
        <f>V8+V22+#REF!+V39+V50+V55+V75+#REF!+V101+#REF!+V145+V173+V123+V127+V182+#REF!+V69+V212+V217</f>
        <v>#REF!</v>
      </c>
      <c r="W295" s="62" t="e">
        <f>W8+W22+#REF!+W39+W50+W55+W75+#REF!+W101+#REF!+W145+W173+W123+W127+W182+#REF!+W69+W212+W217</f>
        <v>#REF!</v>
      </c>
      <c r="X295" s="62" t="e">
        <f>X8+X22+#REF!+X39+X50+X55+X75+#REF!+X101+#REF!+X145+X173+X123+X127+X182+#REF!+X69+X212+X217</f>
        <v>#REF!</v>
      </c>
      <c r="Y295" s="62" t="e">
        <f>Y8+Y22+#REF!+Y39+Y50+Y55+Y75+#REF!+Y101+#REF!+Y145+Y173+Y123+Y127+Y182+#REF!+Y69+Y212+Y217</f>
        <v>#REF!</v>
      </c>
      <c r="Z295" s="62" t="e">
        <f>Z8+Z22+#REF!+Z39+Z50+Z55+Z75+#REF!+Z101+#REF!+Z145+Z173+Z123+Z127+Z182+#REF!+Z69+Z212+Z217</f>
        <v>#REF!</v>
      </c>
      <c r="AA295" s="62" t="e">
        <f>AA8+AA22+#REF!+AA39+AA50+AA55+AA75+#REF!+AA101+#REF!+AA145+AA173+AA123+AA127+AA182+#REF!+AA69+AA212+AA217</f>
        <v>#REF!</v>
      </c>
      <c r="AB295" s="62" t="e">
        <f>AB8+AB22+#REF!+AB39+AB50+AB55+AB75+#REF!+AB101+#REF!+AB145+AB173+AB123+AB127+AB182+#REF!+AB69+AB212+AB217</f>
        <v>#REF!</v>
      </c>
      <c r="AC295" s="62" t="e">
        <f>AC8+AC22+#REF!+AC39+AC50+AC55+AC75+#REF!+AC101+#REF!+AC145+AC173+AC123+AC127+AC182+#REF!+AC69+AC212+AC217</f>
        <v>#REF!</v>
      </c>
      <c r="AD295" s="62" t="e">
        <f>AD8+AD22+#REF!+AD39+AD50+AD55+AD75+#REF!+AD101+#REF!+AD145+AD173+AD123+AD127+AD182+#REF!+AD69+AD212+AD217</f>
        <v>#REF!</v>
      </c>
      <c r="AE295" s="62" t="e">
        <f>AE8+AE22+#REF!+AE39+AE50+AE55+AE75+#REF!+AE101+#REF!+AE145+AE173+AE123+AE127+AE182+#REF!+AE69+AE212+AE217</f>
        <v>#REF!</v>
      </c>
      <c r="AF295" s="62" t="e">
        <f>AF8+AF22+#REF!+AF39+AF50+AF55+AF75+#REF!+AF101+#REF!+AF145+AF173+AF123+AF127+AF182+#REF!+AF69+AF212+AF217</f>
        <v>#REF!</v>
      </c>
      <c r="AG295" s="62" t="e">
        <f>AG8+AG22+#REF!+AG39+AG50+AG55+AG75+#REF!+AG101+#REF!+AG145+AG173+AG123+AG127+AG182+#REF!+AG69+AG212+AG217</f>
        <v>#REF!</v>
      </c>
      <c r="AH295" s="62" t="e">
        <f>AH8+AH22+#REF!+AH39+AH50+AH55+AH75+#REF!+AH101+#REF!+AH145+AH173+AH123+AH127+AH182+#REF!+AH69+AH212+AH217</f>
        <v>#REF!</v>
      </c>
      <c r="AI295" s="62" t="e">
        <f>AI8+AI22+#REF!+AI39+AI50+AI55+AI75+#REF!+AI101+#REF!+AI145+AI173+AI123+AI127+AI182+#REF!+AI69+AI212+AI217</f>
        <v>#REF!</v>
      </c>
      <c r="AJ295" s="62" t="e">
        <f>AJ8+AJ22+#REF!+AJ39+AJ50+AJ55+AJ75+#REF!+AJ101+#REF!+AJ145+AJ173+AJ123+AJ127+AJ182+#REF!+AJ69+AJ212+AJ217</f>
        <v>#REF!</v>
      </c>
      <c r="AK295" s="62" t="e">
        <f>AK8+AK22+#REF!+AK39+AK50+AK55+AK75+#REF!+AK101+#REF!+AK145+AK173+AK123+AK127+AK182+#REF!+AK69+AK212+AK217</f>
        <v>#REF!</v>
      </c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  <c r="AV295" s="63"/>
      <c r="AW295" s="63"/>
      <c r="AX295" s="63"/>
      <c r="AY295" s="63"/>
      <c r="AZ295" s="63"/>
      <c r="BA295" s="63"/>
      <c r="BB295" s="63"/>
      <c r="BC295" s="63"/>
      <c r="BD295" s="63"/>
      <c r="BE295" s="63"/>
      <c r="BF295" s="63"/>
      <c r="BG295" s="254"/>
    </row>
    <row r="296" spans="1:59" s="359" customFormat="1" ht="18.75" x14ac:dyDescent="0.3">
      <c r="A296" s="211" t="s">
        <v>12</v>
      </c>
      <c r="B296" s="351"/>
      <c r="C296" s="8"/>
      <c r="D296" s="355"/>
      <c r="E296" s="355"/>
      <c r="F296" s="355"/>
      <c r="G296" s="356"/>
      <c r="H296" s="357"/>
      <c r="I296" s="358"/>
      <c r="J296" s="357"/>
      <c r="M296" s="360"/>
      <c r="N296" s="12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10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10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254"/>
    </row>
    <row r="297" spans="1:59" s="9" customFormat="1" ht="18" hidden="1" x14ac:dyDescent="0.25">
      <c r="A297" s="28"/>
      <c r="B297" s="8"/>
      <c r="C297" s="8"/>
      <c r="D297" s="355"/>
      <c r="E297" s="11"/>
      <c r="F297" s="355"/>
      <c r="G297" s="21"/>
      <c r="H297" s="357"/>
      <c r="I297" s="182"/>
      <c r="J297" s="145"/>
      <c r="M297" s="13"/>
      <c r="N297" s="12"/>
      <c r="Y297" s="10"/>
      <c r="AK297" s="10"/>
      <c r="BG297" s="143"/>
    </row>
    <row r="298" spans="1:59" s="417" customFormat="1" ht="60" customHeight="1" x14ac:dyDescent="0.3">
      <c r="A298" s="414" t="s">
        <v>12</v>
      </c>
      <c r="B298" s="415"/>
      <c r="C298" s="8"/>
      <c r="D298" s="355"/>
      <c r="E298" s="416" t="s">
        <v>107</v>
      </c>
      <c r="F298" s="416"/>
      <c r="H298" s="416"/>
      <c r="I298" s="418"/>
      <c r="J298" s="416"/>
      <c r="K298" s="419"/>
      <c r="L298" s="413" t="s">
        <v>308</v>
      </c>
      <c r="M298" s="416"/>
      <c r="N298" s="12"/>
      <c r="O298" s="13"/>
      <c r="P298" s="9"/>
      <c r="Q298" s="9"/>
      <c r="R298" s="9"/>
      <c r="S298" s="9"/>
      <c r="T298" s="9"/>
      <c r="U298" s="9"/>
      <c r="V298" s="13"/>
      <c r="W298" s="9"/>
      <c r="X298" s="9"/>
      <c r="Y298" s="10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10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420"/>
    </row>
    <row r="299" spans="1:59" s="50" customFormat="1" ht="18.75" hidden="1" x14ac:dyDescent="0.3">
      <c r="B299" s="29"/>
      <c r="C299" s="29"/>
      <c r="D299" s="255"/>
      <c r="E299" s="207" t="s">
        <v>148</v>
      </c>
      <c r="F299" s="255"/>
      <c r="G299" s="185"/>
      <c r="H299" s="440"/>
      <c r="I299" s="189"/>
      <c r="J299" s="113"/>
      <c r="K299" s="113"/>
      <c r="L299" s="113" t="s">
        <v>149</v>
      </c>
      <c r="M299" s="113"/>
      <c r="N299" s="64"/>
      <c r="BG299" s="143"/>
    </row>
    <row r="300" spans="1:59" s="50" customFormat="1" ht="18.75" hidden="1" x14ac:dyDescent="0.3">
      <c r="B300" s="29"/>
      <c r="C300" s="29"/>
      <c r="D300" s="255"/>
      <c r="E300" s="207" t="s">
        <v>233</v>
      </c>
      <c r="F300" s="255"/>
      <c r="G300" s="186"/>
      <c r="H300" s="441"/>
      <c r="I300" s="190"/>
      <c r="J300" s="147"/>
      <c r="K300" s="147"/>
      <c r="L300" s="113" t="s">
        <v>267</v>
      </c>
      <c r="M300" s="147"/>
      <c r="N300" s="64"/>
      <c r="BG300" s="143"/>
    </row>
    <row r="301" spans="1:59" s="50" customFormat="1" ht="24" hidden="1" customHeight="1" x14ac:dyDescent="0.3">
      <c r="B301" s="29"/>
      <c r="C301" s="29"/>
      <c r="D301" s="255"/>
      <c r="E301" s="142"/>
      <c r="F301" s="255"/>
      <c r="G301" s="64"/>
      <c r="H301" s="442"/>
      <c r="I301" s="179"/>
      <c r="J301" s="146"/>
      <c r="L301" s="143"/>
      <c r="M301" s="143"/>
      <c r="N301" s="64"/>
      <c r="BG301" s="143"/>
    </row>
    <row r="302" spans="1:59" s="9" customFormat="1" ht="18" hidden="1" x14ac:dyDescent="0.25">
      <c r="B302" s="8"/>
      <c r="C302" s="24"/>
      <c r="D302" s="359"/>
      <c r="F302" s="359"/>
      <c r="G302" s="21"/>
      <c r="H302" s="222"/>
      <c r="I302" s="182"/>
      <c r="J302" s="65"/>
      <c r="N302" s="12"/>
      <c r="Y302" s="10"/>
      <c r="AK302" s="10"/>
      <c r="BG302" s="143"/>
    </row>
    <row r="303" spans="1:59" s="14" customFormat="1" ht="18" hidden="1" x14ac:dyDescent="0.25">
      <c r="A303" s="8"/>
      <c r="B303" s="8"/>
      <c r="C303" s="25"/>
      <c r="D303" s="432"/>
      <c r="F303" s="432"/>
      <c r="G303" s="187"/>
      <c r="H303" s="443"/>
      <c r="I303" s="191"/>
      <c r="J303" s="66"/>
      <c r="K303" s="17"/>
      <c r="L303" s="17"/>
      <c r="M303" s="17"/>
      <c r="N303" s="15"/>
      <c r="Y303" s="16"/>
      <c r="AK303" s="16"/>
      <c r="BG303" s="143"/>
    </row>
    <row r="304" spans="1:59" s="359" customFormat="1" ht="18.75" x14ac:dyDescent="0.3">
      <c r="A304" s="351"/>
      <c r="B304" s="351"/>
      <c r="C304" s="24"/>
      <c r="G304" s="366"/>
      <c r="H304" s="367"/>
      <c r="I304" s="358"/>
      <c r="J304" s="367"/>
      <c r="K304" s="368"/>
      <c r="L304" s="368"/>
      <c r="M304" s="368"/>
      <c r="N304" s="12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10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10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254"/>
    </row>
    <row r="305" spans="1:59" s="369" customFormat="1" ht="18.75" hidden="1" x14ac:dyDescent="0.3">
      <c r="A305" s="362"/>
      <c r="B305" s="362"/>
      <c r="C305" s="86"/>
      <c r="G305" s="370" t="s">
        <v>19</v>
      </c>
      <c r="H305" s="371"/>
      <c r="I305" s="372"/>
      <c r="J305" s="373">
        <v>118274701</v>
      </c>
      <c r="K305" s="374">
        <v>81528252</v>
      </c>
      <c r="L305" s="374">
        <v>36746449</v>
      </c>
      <c r="M305" s="374">
        <v>36626449</v>
      </c>
      <c r="N305" s="89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8"/>
      <c r="Z305" s="87"/>
      <c r="AA305" s="87"/>
      <c r="AB305" s="87"/>
      <c r="AC305" s="87"/>
      <c r="AD305" s="87"/>
      <c r="AE305" s="87"/>
      <c r="AF305" s="87"/>
      <c r="AG305" s="87"/>
      <c r="AH305" s="87"/>
      <c r="AI305" s="87"/>
      <c r="AJ305" s="87"/>
      <c r="AK305" s="88"/>
      <c r="AL305" s="87"/>
      <c r="AM305" s="87"/>
      <c r="AN305" s="87"/>
      <c r="AO305" s="87"/>
      <c r="AP305" s="87"/>
      <c r="AQ305" s="87"/>
      <c r="AR305" s="87"/>
      <c r="AS305" s="87"/>
      <c r="AT305" s="87"/>
      <c r="AU305" s="87"/>
      <c r="AV305" s="87"/>
      <c r="AW305" s="87"/>
      <c r="AX305" s="87"/>
      <c r="AY305" s="87"/>
      <c r="AZ305" s="87"/>
      <c r="BA305" s="87"/>
      <c r="BB305" s="87"/>
      <c r="BC305" s="87"/>
      <c r="BD305" s="87"/>
      <c r="BE305" s="87"/>
      <c r="BF305" s="87"/>
      <c r="BG305" s="254"/>
    </row>
    <row r="306" spans="1:59" s="359" customFormat="1" ht="18.75" hidden="1" x14ac:dyDescent="0.3">
      <c r="A306" s="351"/>
      <c r="B306" s="351"/>
      <c r="C306" s="26"/>
      <c r="G306" s="366"/>
      <c r="H306" s="367"/>
      <c r="I306" s="358"/>
      <c r="J306" s="367"/>
      <c r="K306" s="368"/>
      <c r="L306" s="360"/>
      <c r="M306" s="368"/>
      <c r="N306" s="19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20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20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254"/>
    </row>
    <row r="307" spans="1:59" s="375" customFormat="1" ht="18.75" hidden="1" x14ac:dyDescent="0.3">
      <c r="A307" s="363"/>
      <c r="B307" s="363"/>
      <c r="C307" s="82"/>
      <c r="G307" s="376" t="s">
        <v>6</v>
      </c>
      <c r="H307" s="377"/>
      <c r="I307" s="378"/>
      <c r="J307" s="379">
        <f>+J295-J305</f>
        <v>5862558</v>
      </c>
      <c r="K307" s="379">
        <f>+K295-K305</f>
        <v>6939741.9599999934</v>
      </c>
      <c r="L307" s="379">
        <f>+L295-L305</f>
        <v>-1077183.9600000009</v>
      </c>
      <c r="M307" s="379">
        <f>+M295-M305</f>
        <v>-1077183.9600000009</v>
      </c>
      <c r="N307" s="84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5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5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254"/>
    </row>
    <row r="308" spans="1:59" s="359" customFormat="1" ht="18.75" hidden="1" x14ac:dyDescent="0.3">
      <c r="A308" s="364"/>
      <c r="B308" s="364"/>
      <c r="C308" s="27"/>
      <c r="G308" s="356"/>
      <c r="H308" s="367"/>
      <c r="I308" s="358"/>
      <c r="J308" s="360"/>
      <c r="K308" s="360"/>
      <c r="L308" s="360"/>
      <c r="N308" s="81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254"/>
    </row>
    <row r="309" spans="1:59" s="380" customFormat="1" ht="18.75" hidden="1" x14ac:dyDescent="0.3">
      <c r="A309" s="365"/>
      <c r="B309" s="365"/>
      <c r="C309" s="27"/>
      <c r="G309" s="381"/>
      <c r="H309" s="382" t="s">
        <v>179</v>
      </c>
      <c r="I309" s="383"/>
      <c r="J309" s="384">
        <f>J307-J310</f>
        <v>2938100</v>
      </c>
      <c r="K309" s="384">
        <f>K307-K310</f>
        <v>6714283.9599999934</v>
      </c>
      <c r="L309" s="384">
        <f>L307-L310</f>
        <v>-3776183.9600000009</v>
      </c>
      <c r="M309" s="384">
        <f>M307-M310</f>
        <v>-3776183.9600000009</v>
      </c>
      <c r="N309" s="21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254"/>
    </row>
    <row r="310" spans="1:59" s="359" customFormat="1" ht="18.75" hidden="1" x14ac:dyDescent="0.3">
      <c r="A310" s="364"/>
      <c r="B310" s="364"/>
      <c r="C310" s="27"/>
      <c r="G310" s="356"/>
      <c r="H310" s="385" t="s">
        <v>24</v>
      </c>
      <c r="I310" s="386"/>
      <c r="J310" s="387">
        <f>K310+L310</f>
        <v>2924458</v>
      </c>
      <c r="K310" s="388">
        <f>SUM(K311:K343)</f>
        <v>225458</v>
      </c>
      <c r="L310" s="388">
        <f>SUM(L311:L343)</f>
        <v>2699000</v>
      </c>
      <c r="M310" s="388">
        <f>SUM(M311:M343)</f>
        <v>2699000</v>
      </c>
      <c r="N310" s="21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254"/>
    </row>
    <row r="311" spans="1:59" s="359" customFormat="1" ht="18.75" hidden="1" x14ac:dyDescent="0.3">
      <c r="A311" s="364"/>
      <c r="B311" s="364"/>
      <c r="C311" s="27"/>
      <c r="G311" s="356"/>
      <c r="H311" s="367"/>
      <c r="I311" s="389"/>
      <c r="J311" s="387">
        <f t="shared" ref="J311:J342" si="32">K311+L311</f>
        <v>1470124</v>
      </c>
      <c r="K311" s="390">
        <v>20124</v>
      </c>
      <c r="L311" s="390">
        <v>1450000</v>
      </c>
      <c r="M311" s="390">
        <v>1450000</v>
      </c>
      <c r="N311" s="21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254"/>
    </row>
    <row r="312" spans="1:59" s="359" customFormat="1" ht="18.75" hidden="1" x14ac:dyDescent="0.3">
      <c r="A312" s="364"/>
      <c r="B312" s="364"/>
      <c r="C312" s="27"/>
      <c r="G312" s="356"/>
      <c r="H312" s="367"/>
      <c r="I312" s="391"/>
      <c r="J312" s="387">
        <f t="shared" si="32"/>
        <v>194334</v>
      </c>
      <c r="K312" s="390">
        <v>145334</v>
      </c>
      <c r="L312" s="390">
        <v>49000</v>
      </c>
      <c r="M312" s="390">
        <v>49000</v>
      </c>
      <c r="N312" s="21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254"/>
    </row>
    <row r="313" spans="1:59" s="359" customFormat="1" ht="18.75" hidden="1" x14ac:dyDescent="0.3">
      <c r="A313" s="364"/>
      <c r="B313" s="364"/>
      <c r="C313" s="27"/>
      <c r="G313" s="392"/>
      <c r="H313" s="393">
        <v>168264331.63</v>
      </c>
      <c r="I313" s="391"/>
      <c r="J313" s="387">
        <f t="shared" si="32"/>
        <v>60000</v>
      </c>
      <c r="K313" s="390">
        <v>60000</v>
      </c>
      <c r="L313" s="390"/>
      <c r="M313" s="390"/>
      <c r="N313" s="21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254"/>
    </row>
    <row r="314" spans="1:59" s="359" customFormat="1" ht="18.75" hidden="1" x14ac:dyDescent="0.3">
      <c r="A314" s="364"/>
      <c r="B314" s="364"/>
      <c r="C314" s="27"/>
      <c r="G314" s="392"/>
      <c r="H314" s="393"/>
      <c r="I314" s="391"/>
      <c r="J314" s="387">
        <f t="shared" si="32"/>
        <v>1200000</v>
      </c>
      <c r="K314" s="390"/>
      <c r="L314" s="390">
        <v>1200000</v>
      </c>
      <c r="M314" s="390">
        <v>1200000</v>
      </c>
      <c r="N314" s="21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254"/>
    </row>
    <row r="315" spans="1:59" s="359" customFormat="1" ht="18.75" hidden="1" x14ac:dyDescent="0.3">
      <c r="A315" s="364"/>
      <c r="B315" s="364"/>
      <c r="C315" s="27"/>
      <c r="G315" s="508" t="s">
        <v>309</v>
      </c>
      <c r="H315" s="505">
        <f>+L295-L178-M295</f>
        <v>120000</v>
      </c>
      <c r="I315" s="391"/>
      <c r="J315" s="394">
        <f t="shared" si="32"/>
        <v>0</v>
      </c>
      <c r="K315" s="390"/>
      <c r="L315" s="390"/>
      <c r="M315" s="390"/>
      <c r="N315" s="21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254"/>
    </row>
    <row r="316" spans="1:59" s="359" customFormat="1" ht="18.75" hidden="1" x14ac:dyDescent="0.3">
      <c r="A316" s="364"/>
      <c r="B316" s="364"/>
      <c r="C316" s="27"/>
      <c r="G316" s="509"/>
      <c r="H316" s="506"/>
      <c r="I316" s="395"/>
      <c r="J316" s="387">
        <f t="shared" si="32"/>
        <v>0</v>
      </c>
      <c r="K316" s="396"/>
      <c r="L316" s="397"/>
      <c r="M316" s="397"/>
      <c r="N316" s="21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254"/>
    </row>
    <row r="317" spans="1:59" s="359" customFormat="1" ht="18.75" hidden="1" x14ac:dyDescent="0.3">
      <c r="A317" s="364"/>
      <c r="B317" s="364"/>
      <c r="C317" s="27"/>
      <c r="G317" s="510"/>
      <c r="H317" s="507"/>
      <c r="I317" s="395"/>
      <c r="J317" s="387">
        <f t="shared" si="32"/>
        <v>0</v>
      </c>
      <c r="K317" s="396"/>
      <c r="L317" s="397"/>
      <c r="M317" s="397"/>
      <c r="N317" s="21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254"/>
    </row>
    <row r="318" spans="1:59" s="359" customFormat="1" ht="18.75" hidden="1" x14ac:dyDescent="0.3">
      <c r="A318" s="351"/>
      <c r="B318" s="351"/>
      <c r="C318" s="24"/>
      <c r="G318" s="392"/>
      <c r="H318" s="393"/>
      <c r="I318" s="504"/>
      <c r="J318" s="387">
        <f t="shared" si="32"/>
        <v>0</v>
      </c>
      <c r="K318" s="396"/>
      <c r="L318" s="397"/>
      <c r="M318" s="397"/>
      <c r="N318" s="12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10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10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254"/>
    </row>
    <row r="319" spans="1:59" s="359" customFormat="1" ht="18.75" hidden="1" x14ac:dyDescent="0.3">
      <c r="A319" s="351"/>
      <c r="B319" s="351"/>
      <c r="C319" s="24"/>
      <c r="G319" s="356"/>
      <c r="I319" s="504"/>
      <c r="J319" s="387">
        <f t="shared" si="32"/>
        <v>0</v>
      </c>
      <c r="K319" s="396"/>
      <c r="L319" s="396"/>
      <c r="M319" s="396"/>
      <c r="N319" s="12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10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10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254"/>
    </row>
    <row r="320" spans="1:59" ht="18.75" hidden="1" x14ac:dyDescent="0.3">
      <c r="I320" s="504"/>
      <c r="J320" s="387">
        <f t="shared" si="32"/>
        <v>0</v>
      </c>
      <c r="K320" s="396"/>
      <c r="L320" s="397"/>
      <c r="M320" s="397"/>
      <c r="BG320" s="254"/>
    </row>
    <row r="321" spans="8:59" ht="18.75" hidden="1" x14ac:dyDescent="0.3">
      <c r="H321" s="399"/>
      <c r="I321" s="504"/>
      <c r="J321" s="387">
        <f t="shared" si="32"/>
        <v>0</v>
      </c>
      <c r="K321" s="396"/>
      <c r="L321" s="397"/>
      <c r="M321" s="397"/>
      <c r="BG321" s="254"/>
    </row>
    <row r="322" spans="8:59" ht="18.75" hidden="1" x14ac:dyDescent="0.3">
      <c r="H322" s="399"/>
      <c r="I322" s="504"/>
      <c r="J322" s="387">
        <f t="shared" si="32"/>
        <v>0</v>
      </c>
      <c r="K322" s="396"/>
      <c r="L322" s="397"/>
      <c r="M322" s="397"/>
      <c r="BG322" s="254"/>
    </row>
    <row r="323" spans="8:59" ht="18.75" hidden="1" x14ac:dyDescent="0.3">
      <c r="H323" s="399"/>
      <c r="I323" s="400"/>
      <c r="J323" s="387">
        <f t="shared" si="32"/>
        <v>0</v>
      </c>
      <c r="K323" s="396"/>
      <c r="L323" s="397"/>
      <c r="M323" s="397"/>
      <c r="BG323" s="254"/>
    </row>
    <row r="324" spans="8:59" ht="18.75" hidden="1" x14ac:dyDescent="0.3">
      <c r="H324" s="401"/>
      <c r="I324" s="395"/>
      <c r="J324" s="387">
        <f t="shared" si="32"/>
        <v>0</v>
      </c>
      <c r="K324" s="396"/>
      <c r="L324" s="397"/>
      <c r="M324" s="397"/>
      <c r="BG324" s="254"/>
    </row>
    <row r="325" spans="8:59" ht="18.75" hidden="1" x14ac:dyDescent="0.3">
      <c r="H325" s="399"/>
      <c r="I325" s="400"/>
      <c r="J325" s="387">
        <f t="shared" si="32"/>
        <v>0</v>
      </c>
      <c r="K325" s="396"/>
      <c r="L325" s="397"/>
      <c r="M325" s="397"/>
      <c r="BG325" s="254"/>
    </row>
    <row r="326" spans="8:59" ht="18.75" hidden="1" x14ac:dyDescent="0.3">
      <c r="H326" s="399"/>
      <c r="I326" s="400"/>
      <c r="J326" s="387">
        <f t="shared" si="32"/>
        <v>0</v>
      </c>
      <c r="K326" s="396"/>
      <c r="L326" s="397"/>
      <c r="M326" s="397"/>
      <c r="BG326" s="254"/>
    </row>
    <row r="327" spans="8:59" ht="18.75" hidden="1" x14ac:dyDescent="0.3">
      <c r="H327" s="399"/>
      <c r="I327" s="400"/>
      <c r="J327" s="387">
        <f t="shared" si="32"/>
        <v>0</v>
      </c>
      <c r="K327" s="396"/>
      <c r="L327" s="397"/>
      <c r="M327" s="397"/>
      <c r="BG327" s="254"/>
    </row>
    <row r="328" spans="8:59" ht="18.75" hidden="1" x14ac:dyDescent="0.3">
      <c r="H328" s="399"/>
      <c r="I328" s="402"/>
      <c r="J328" s="403">
        <f t="shared" si="32"/>
        <v>0</v>
      </c>
      <c r="K328" s="404"/>
      <c r="L328" s="396"/>
      <c r="M328" s="396"/>
      <c r="BG328" s="254"/>
    </row>
    <row r="329" spans="8:59" ht="18.75" hidden="1" x14ac:dyDescent="0.3">
      <c r="H329" s="405"/>
      <c r="I329" s="402"/>
      <c r="J329" s="387">
        <f t="shared" si="32"/>
        <v>0</v>
      </c>
      <c r="K329" s="396"/>
      <c r="L329" s="396"/>
      <c r="M329" s="396"/>
      <c r="BG329" s="254"/>
    </row>
    <row r="330" spans="8:59" ht="18.75" hidden="1" x14ac:dyDescent="0.3">
      <c r="H330" s="405"/>
      <c r="I330" s="402"/>
      <c r="J330" s="387">
        <f t="shared" si="32"/>
        <v>0</v>
      </c>
      <c r="K330" s="396"/>
      <c r="L330" s="396"/>
      <c r="M330" s="396"/>
      <c r="BG330" s="254"/>
    </row>
    <row r="331" spans="8:59" ht="18.75" hidden="1" x14ac:dyDescent="0.3">
      <c r="H331" s="405"/>
      <c r="I331" s="402"/>
      <c r="J331" s="387">
        <f t="shared" si="32"/>
        <v>0</v>
      </c>
      <c r="K331" s="396"/>
      <c r="L331" s="396"/>
      <c r="M331" s="396"/>
      <c r="BG331" s="254"/>
    </row>
    <row r="332" spans="8:59" ht="18.75" hidden="1" x14ac:dyDescent="0.3">
      <c r="H332" s="405"/>
      <c r="I332" s="402"/>
      <c r="J332" s="387">
        <f t="shared" si="32"/>
        <v>0</v>
      </c>
      <c r="K332" s="396"/>
      <c r="L332" s="396"/>
      <c r="M332" s="396"/>
      <c r="BG332" s="254"/>
    </row>
    <row r="333" spans="8:59" ht="18.75" hidden="1" x14ac:dyDescent="0.3">
      <c r="H333" s="405"/>
      <c r="I333" s="402"/>
      <c r="J333" s="387">
        <f t="shared" si="32"/>
        <v>0</v>
      </c>
      <c r="K333" s="396"/>
      <c r="L333" s="396"/>
      <c r="M333" s="396"/>
      <c r="BG333" s="254"/>
    </row>
    <row r="334" spans="8:59" ht="18.75" hidden="1" x14ac:dyDescent="0.3">
      <c r="H334" s="405"/>
      <c r="I334" s="400"/>
      <c r="J334" s="387">
        <f t="shared" si="32"/>
        <v>0</v>
      </c>
      <c r="K334" s="397"/>
      <c r="L334" s="396"/>
      <c r="M334" s="396"/>
      <c r="BG334" s="254"/>
    </row>
    <row r="335" spans="8:59" ht="18.75" hidden="1" x14ac:dyDescent="0.3">
      <c r="H335" s="405"/>
      <c r="I335" s="535"/>
      <c r="J335" s="387">
        <f t="shared" si="32"/>
        <v>0</v>
      </c>
      <c r="K335" s="397"/>
      <c r="L335" s="396"/>
      <c r="M335" s="396"/>
      <c r="BG335" s="254"/>
    </row>
    <row r="336" spans="8:59" ht="18.75" hidden="1" x14ac:dyDescent="0.3">
      <c r="H336" s="405"/>
      <c r="I336" s="535"/>
      <c r="J336" s="387">
        <f t="shared" si="32"/>
        <v>0</v>
      </c>
      <c r="K336" s="397"/>
      <c r="L336" s="396"/>
      <c r="M336" s="396"/>
      <c r="BG336" s="254"/>
    </row>
    <row r="337" spans="7:59" ht="18.75" hidden="1" x14ac:dyDescent="0.3">
      <c r="H337" s="406"/>
      <c r="I337" s="407"/>
      <c r="J337" s="387">
        <f t="shared" si="32"/>
        <v>0</v>
      </c>
      <c r="K337" s="397"/>
      <c r="L337" s="396"/>
      <c r="M337" s="396"/>
      <c r="BG337" s="254"/>
    </row>
    <row r="338" spans="7:59" ht="18.75" hidden="1" x14ac:dyDescent="0.3">
      <c r="H338" s="408"/>
      <c r="I338" s="407"/>
      <c r="J338" s="387">
        <f t="shared" si="32"/>
        <v>0</v>
      </c>
      <c r="K338" s="397"/>
      <c r="L338" s="396"/>
      <c r="M338" s="396"/>
      <c r="BG338" s="254"/>
    </row>
    <row r="339" spans="7:59" ht="18.75" hidden="1" x14ac:dyDescent="0.3">
      <c r="H339" s="409"/>
      <c r="I339" s="407"/>
      <c r="J339" s="387">
        <f t="shared" si="32"/>
        <v>0</v>
      </c>
      <c r="K339" s="396"/>
      <c r="L339" s="396"/>
      <c r="M339" s="396"/>
      <c r="BG339" s="254"/>
    </row>
    <row r="340" spans="7:59" ht="18.75" hidden="1" x14ac:dyDescent="0.3">
      <c r="H340" s="410"/>
      <c r="I340" s="407"/>
      <c r="J340" s="387">
        <f t="shared" si="32"/>
        <v>0</v>
      </c>
      <c r="K340" s="396"/>
      <c r="L340" s="396"/>
      <c r="M340" s="396"/>
      <c r="BG340" s="254"/>
    </row>
    <row r="341" spans="7:59" ht="18.75" hidden="1" x14ac:dyDescent="0.3">
      <c r="H341" s="410"/>
      <c r="I341" s="407"/>
      <c r="J341" s="387">
        <f t="shared" si="32"/>
        <v>0</v>
      </c>
      <c r="K341" s="396"/>
      <c r="L341" s="396"/>
      <c r="M341" s="396"/>
      <c r="BG341" s="254"/>
    </row>
    <row r="342" spans="7:59" ht="18.75" hidden="1" x14ac:dyDescent="0.3">
      <c r="H342" s="410"/>
      <c r="I342" s="407"/>
      <c r="J342" s="394">
        <f t="shared" si="32"/>
        <v>0</v>
      </c>
      <c r="K342" s="411"/>
      <c r="L342" s="411"/>
      <c r="M342" s="411"/>
      <c r="BG342" s="254"/>
    </row>
    <row r="343" spans="7:59" ht="18.75" hidden="1" x14ac:dyDescent="0.3">
      <c r="H343" s="410"/>
      <c r="I343" s="407"/>
      <c r="J343" s="387">
        <f>K343+L343</f>
        <v>0</v>
      </c>
      <c r="K343" s="396"/>
      <c r="L343" s="396"/>
      <c r="M343" s="396"/>
      <c r="BG343" s="254"/>
    </row>
    <row r="344" spans="7:59" ht="18.75" hidden="1" x14ac:dyDescent="0.3">
      <c r="H344" s="410"/>
      <c r="I344" s="407"/>
      <c r="J344" s="412"/>
      <c r="BG344" s="254"/>
    </row>
    <row r="345" spans="7:59" ht="18.75" hidden="1" x14ac:dyDescent="0.3">
      <c r="I345" s="400"/>
      <c r="J345" s="412"/>
      <c r="BG345" s="254"/>
    </row>
    <row r="346" spans="7:59" ht="18.75" x14ac:dyDescent="0.3">
      <c r="I346" s="400"/>
      <c r="J346" s="412"/>
      <c r="BG346" s="254"/>
    </row>
    <row r="347" spans="7:59" ht="18.75" x14ac:dyDescent="0.3">
      <c r="I347" s="400"/>
      <c r="J347" s="412"/>
      <c r="BG347" s="254"/>
    </row>
    <row r="348" spans="7:59" ht="18.75" x14ac:dyDescent="0.3">
      <c r="I348" s="400"/>
      <c r="J348" s="412"/>
      <c r="BG348" s="254"/>
    </row>
    <row r="349" spans="7:59" ht="18.75" x14ac:dyDescent="0.3">
      <c r="G349" s="15" t="s">
        <v>19</v>
      </c>
      <c r="H349" s="457"/>
      <c r="I349" s="458"/>
      <c r="J349" s="495">
        <v>122697159</v>
      </c>
      <c r="K349" s="496">
        <v>86187893.959999993</v>
      </c>
      <c r="L349" s="496">
        <v>36509265.039999999</v>
      </c>
      <c r="M349" s="496">
        <v>36389265.039999999</v>
      </c>
      <c r="BG349" s="254"/>
    </row>
    <row r="350" spans="7:59" ht="18.75" x14ac:dyDescent="0.3">
      <c r="G350" s="459"/>
      <c r="H350" s="460"/>
      <c r="I350" s="182"/>
      <c r="J350" s="497"/>
      <c r="K350" s="498"/>
      <c r="L350" s="499"/>
      <c r="M350" s="498"/>
      <c r="BG350" s="254"/>
    </row>
    <row r="351" spans="7:59" ht="18.75" x14ac:dyDescent="0.3">
      <c r="G351" s="461" t="s">
        <v>6</v>
      </c>
      <c r="H351" s="462"/>
      <c r="I351" s="463"/>
      <c r="J351" s="500">
        <f>J349-J295</f>
        <v>-1440100</v>
      </c>
      <c r="K351" s="500">
        <f t="shared" ref="K351:M351" si="33">K349-K295</f>
        <v>-2280100</v>
      </c>
      <c r="L351" s="500">
        <f t="shared" si="33"/>
        <v>840000</v>
      </c>
      <c r="M351" s="500">
        <f t="shared" si="33"/>
        <v>840000</v>
      </c>
      <c r="BG351" s="254"/>
    </row>
    <row r="352" spans="7:59" ht="18.75" x14ac:dyDescent="0.3">
      <c r="G352" s="21"/>
      <c r="H352" s="460"/>
      <c r="I352" s="182"/>
      <c r="J352" s="499"/>
      <c r="K352" s="499"/>
      <c r="L352" s="499"/>
      <c r="M352" s="501"/>
      <c r="BG352" s="254"/>
    </row>
    <row r="353" spans="7:59" ht="18.75" x14ac:dyDescent="0.3">
      <c r="G353" s="464"/>
      <c r="H353" s="465" t="s">
        <v>179</v>
      </c>
      <c r="I353" s="466"/>
      <c r="J353" s="502">
        <f>J351+J354</f>
        <v>0</v>
      </c>
      <c r="K353" s="502">
        <f>K351+K354</f>
        <v>0</v>
      </c>
      <c r="L353" s="502">
        <f t="shared" ref="L353:M353" si="34">L351+L354</f>
        <v>0</v>
      </c>
      <c r="M353" s="502">
        <f t="shared" si="34"/>
        <v>0</v>
      </c>
      <c r="BG353" s="254"/>
    </row>
    <row r="354" spans="7:59" ht="18.75" x14ac:dyDescent="0.3">
      <c r="G354" s="21"/>
      <c r="H354" s="467" t="s">
        <v>24</v>
      </c>
      <c r="I354" s="468"/>
      <c r="J354" s="469">
        <f>K354+L354</f>
        <v>1440100</v>
      </c>
      <c r="K354" s="470">
        <f>SUM(K355:K387)</f>
        <v>2280100</v>
      </c>
      <c r="L354" s="470">
        <f t="shared" ref="L354:M354" si="35">SUM(L355:L387)</f>
        <v>-840000</v>
      </c>
      <c r="M354" s="470">
        <f t="shared" si="35"/>
        <v>-840000</v>
      </c>
      <c r="BG354" s="254"/>
    </row>
    <row r="355" spans="7:59" ht="18.75" x14ac:dyDescent="0.3">
      <c r="G355" s="21"/>
      <c r="H355" s="460"/>
      <c r="I355" s="471"/>
      <c r="J355" s="469">
        <f t="shared" ref="J355:J386" si="36">K355+L355</f>
        <v>-1700000</v>
      </c>
      <c r="K355" s="472">
        <v>100000</v>
      </c>
      <c r="L355" s="472">
        <v>-1800000</v>
      </c>
      <c r="M355" s="472">
        <v>-1800000</v>
      </c>
      <c r="BG355" s="254"/>
    </row>
    <row r="356" spans="7:59" ht="18.75" x14ac:dyDescent="0.3">
      <c r="G356" s="21"/>
      <c r="H356" s="460"/>
      <c r="I356" s="473"/>
      <c r="J356" s="469">
        <f t="shared" si="36"/>
        <v>1340100</v>
      </c>
      <c r="K356" s="472">
        <v>140100</v>
      </c>
      <c r="L356" s="472">
        <v>1200000</v>
      </c>
      <c r="M356" s="472">
        <v>1200000</v>
      </c>
      <c r="BG356" s="254"/>
    </row>
    <row r="357" spans="7:59" ht="18.75" x14ac:dyDescent="0.3">
      <c r="G357" s="474"/>
      <c r="H357" s="475"/>
      <c r="I357" s="473"/>
      <c r="J357" s="469">
        <f t="shared" si="36"/>
        <v>0</v>
      </c>
      <c r="K357" s="472">
        <v>240000</v>
      </c>
      <c r="L357" s="472">
        <v>-240000</v>
      </c>
      <c r="M357" s="472">
        <v>-240000</v>
      </c>
      <c r="BG357" s="254"/>
    </row>
    <row r="358" spans="7:59" ht="18.75" x14ac:dyDescent="0.3">
      <c r="G358" s="474"/>
      <c r="H358" s="475"/>
      <c r="I358" s="473"/>
      <c r="J358" s="469">
        <f t="shared" si="36"/>
        <v>1800000</v>
      </c>
      <c r="K358" s="472">
        <v>1800000</v>
      </c>
      <c r="L358" s="472"/>
      <c r="M358" s="472"/>
      <c r="BG358" s="254"/>
    </row>
    <row r="359" spans="7:59" ht="18.75" x14ac:dyDescent="0.3">
      <c r="G359" s="527" t="s">
        <v>311</v>
      </c>
      <c r="H359" s="530">
        <f>+L339-L222-M339</f>
        <v>0</v>
      </c>
      <c r="I359" s="473"/>
      <c r="J359" s="476">
        <f t="shared" si="36"/>
        <v>0</v>
      </c>
      <c r="K359" s="472"/>
      <c r="L359" s="472"/>
      <c r="M359" s="472"/>
      <c r="BG359" s="254"/>
    </row>
    <row r="360" spans="7:59" ht="18.75" x14ac:dyDescent="0.3">
      <c r="G360" s="528"/>
      <c r="H360" s="531"/>
      <c r="I360" s="477"/>
      <c r="J360" s="469">
        <f t="shared" si="36"/>
        <v>0</v>
      </c>
      <c r="K360" s="478"/>
      <c r="L360" s="479"/>
      <c r="M360" s="479"/>
      <c r="BG360" s="254"/>
    </row>
    <row r="361" spans="7:59" ht="18.75" x14ac:dyDescent="0.3">
      <c r="G361" s="529"/>
      <c r="H361" s="532"/>
      <c r="I361" s="477"/>
      <c r="J361" s="469">
        <f t="shared" si="36"/>
        <v>0</v>
      </c>
      <c r="K361" s="478"/>
      <c r="L361" s="479"/>
      <c r="M361" s="479"/>
      <c r="BG361" s="254"/>
    </row>
    <row r="362" spans="7:59" ht="18.75" x14ac:dyDescent="0.3">
      <c r="G362" s="474"/>
      <c r="H362" s="475"/>
      <c r="I362" s="533"/>
      <c r="J362" s="469">
        <f t="shared" si="36"/>
        <v>0</v>
      </c>
      <c r="K362" s="478"/>
      <c r="L362" s="479"/>
      <c r="M362" s="479"/>
      <c r="BG362" s="254"/>
    </row>
    <row r="363" spans="7:59" ht="18.75" x14ac:dyDescent="0.3">
      <c r="G363" s="21"/>
      <c r="H363" s="9"/>
      <c r="I363" s="533"/>
      <c r="J363" s="469">
        <f t="shared" si="36"/>
        <v>0</v>
      </c>
      <c r="K363" s="478"/>
      <c r="L363" s="478"/>
      <c r="M363" s="478"/>
      <c r="BG363" s="254"/>
    </row>
    <row r="364" spans="7:59" ht="18.75" x14ac:dyDescent="0.3">
      <c r="G364" s="480"/>
      <c r="H364" s="481"/>
      <c r="I364" s="533"/>
      <c r="J364" s="469">
        <f t="shared" si="36"/>
        <v>0</v>
      </c>
      <c r="K364" s="478"/>
      <c r="L364" s="479"/>
      <c r="M364" s="479"/>
      <c r="BG364" s="254"/>
    </row>
    <row r="365" spans="7:59" ht="18.75" x14ac:dyDescent="0.3">
      <c r="G365" s="480"/>
      <c r="H365" s="482"/>
      <c r="I365" s="533"/>
      <c r="J365" s="469">
        <f t="shared" si="36"/>
        <v>0</v>
      </c>
      <c r="K365" s="478"/>
      <c r="L365" s="479"/>
      <c r="M365" s="479"/>
      <c r="BG365" s="254"/>
    </row>
    <row r="366" spans="7:59" ht="18.75" x14ac:dyDescent="0.3">
      <c r="G366" s="480"/>
      <c r="H366" s="482"/>
      <c r="I366" s="533"/>
      <c r="J366" s="469">
        <f t="shared" si="36"/>
        <v>0</v>
      </c>
      <c r="K366" s="478"/>
      <c r="L366" s="479"/>
      <c r="M366" s="479"/>
      <c r="BG366" s="254"/>
    </row>
    <row r="367" spans="7:59" ht="18.75" x14ac:dyDescent="0.3">
      <c r="G367" s="480"/>
      <c r="H367" s="482"/>
      <c r="I367" s="483"/>
      <c r="J367" s="469">
        <f t="shared" si="36"/>
        <v>0</v>
      </c>
      <c r="K367" s="478"/>
      <c r="L367" s="479"/>
      <c r="M367" s="479"/>
      <c r="BG367" s="254"/>
    </row>
    <row r="368" spans="7:59" ht="18.75" x14ac:dyDescent="0.3">
      <c r="G368" s="480"/>
      <c r="H368" s="484"/>
      <c r="I368" s="477"/>
      <c r="J368" s="469">
        <f t="shared" si="36"/>
        <v>0</v>
      </c>
      <c r="K368" s="478"/>
      <c r="L368" s="479"/>
      <c r="M368" s="479"/>
      <c r="BG368" s="254"/>
    </row>
    <row r="369" spans="7:59" ht="18.75" x14ac:dyDescent="0.3">
      <c r="G369" s="480"/>
      <c r="H369" s="482"/>
      <c r="I369" s="483"/>
      <c r="J369" s="469">
        <f t="shared" si="36"/>
        <v>0</v>
      </c>
      <c r="K369" s="478"/>
      <c r="L369" s="479"/>
      <c r="M369" s="479"/>
      <c r="BG369" s="254"/>
    </row>
    <row r="370" spans="7:59" ht="18.75" x14ac:dyDescent="0.3">
      <c r="G370" s="480"/>
      <c r="H370" s="482"/>
      <c r="I370" s="483"/>
      <c r="J370" s="469">
        <f t="shared" si="36"/>
        <v>0</v>
      </c>
      <c r="K370" s="478"/>
      <c r="L370" s="479"/>
      <c r="M370" s="479"/>
      <c r="BG370" s="254"/>
    </row>
    <row r="371" spans="7:59" ht="18.75" x14ac:dyDescent="0.3">
      <c r="G371" s="480"/>
      <c r="H371" s="482"/>
      <c r="I371" s="483"/>
      <c r="J371" s="469">
        <f t="shared" si="36"/>
        <v>0</v>
      </c>
      <c r="K371" s="478"/>
      <c r="L371" s="479"/>
      <c r="M371" s="479"/>
      <c r="BG371" s="254"/>
    </row>
    <row r="372" spans="7:59" ht="18.75" x14ac:dyDescent="0.3">
      <c r="G372" s="480"/>
      <c r="H372" s="482"/>
      <c r="I372" s="485"/>
      <c r="J372" s="486">
        <f t="shared" si="36"/>
        <v>0</v>
      </c>
      <c r="K372" s="487"/>
      <c r="L372" s="478"/>
      <c r="M372" s="478"/>
      <c r="BG372" s="254"/>
    </row>
    <row r="373" spans="7:59" ht="18.75" x14ac:dyDescent="0.3">
      <c r="G373" s="480"/>
      <c r="H373" s="488"/>
      <c r="I373" s="485"/>
      <c r="J373" s="469">
        <f t="shared" si="36"/>
        <v>0</v>
      </c>
      <c r="K373" s="478"/>
      <c r="L373" s="478"/>
      <c r="M373" s="478"/>
      <c r="BG373" s="254"/>
    </row>
    <row r="374" spans="7:59" ht="18.75" x14ac:dyDescent="0.3">
      <c r="G374" s="480"/>
      <c r="H374" s="488"/>
      <c r="I374" s="485"/>
      <c r="J374" s="469">
        <f t="shared" si="36"/>
        <v>0</v>
      </c>
      <c r="K374" s="478"/>
      <c r="L374" s="478"/>
      <c r="M374" s="478"/>
      <c r="BG374" s="254"/>
    </row>
    <row r="375" spans="7:59" ht="18.75" x14ac:dyDescent="0.3">
      <c r="G375" s="480"/>
      <c r="H375" s="488"/>
      <c r="I375" s="485"/>
      <c r="J375" s="469">
        <f t="shared" si="36"/>
        <v>0</v>
      </c>
      <c r="K375" s="478"/>
      <c r="L375" s="478"/>
      <c r="M375" s="478"/>
      <c r="BG375" s="254"/>
    </row>
    <row r="376" spans="7:59" ht="18.75" x14ac:dyDescent="0.3">
      <c r="G376" s="480"/>
      <c r="H376" s="488"/>
      <c r="I376" s="485"/>
      <c r="J376" s="469">
        <f t="shared" si="36"/>
        <v>0</v>
      </c>
      <c r="K376" s="478"/>
      <c r="L376" s="478"/>
      <c r="M376" s="478"/>
      <c r="BG376" s="254"/>
    </row>
    <row r="377" spans="7:59" ht="18.75" x14ac:dyDescent="0.3">
      <c r="G377" s="480"/>
      <c r="H377" s="488"/>
      <c r="I377" s="485"/>
      <c r="J377" s="469">
        <f t="shared" si="36"/>
        <v>0</v>
      </c>
      <c r="K377" s="478"/>
      <c r="L377" s="478"/>
      <c r="M377" s="478"/>
      <c r="BG377" s="254"/>
    </row>
    <row r="378" spans="7:59" ht="18.75" x14ac:dyDescent="0.3">
      <c r="G378" s="480"/>
      <c r="H378" s="488"/>
      <c r="I378" s="483"/>
      <c r="J378" s="469">
        <f t="shared" si="36"/>
        <v>0</v>
      </c>
      <c r="K378" s="479"/>
      <c r="L378" s="478"/>
      <c r="M378" s="478"/>
      <c r="BG378" s="254"/>
    </row>
    <row r="379" spans="7:59" ht="18.75" x14ac:dyDescent="0.3">
      <c r="G379" s="480"/>
      <c r="H379" s="488"/>
      <c r="I379" s="534"/>
      <c r="J379" s="469">
        <f t="shared" si="36"/>
        <v>0</v>
      </c>
      <c r="K379" s="479"/>
      <c r="L379" s="478"/>
      <c r="M379" s="478"/>
      <c r="BG379" s="254"/>
    </row>
    <row r="380" spans="7:59" ht="18.75" x14ac:dyDescent="0.3">
      <c r="G380" s="480"/>
      <c r="H380" s="488"/>
      <c r="I380" s="534"/>
      <c r="J380" s="469">
        <f t="shared" si="36"/>
        <v>0</v>
      </c>
      <c r="K380" s="479"/>
      <c r="L380" s="478"/>
      <c r="M380" s="478"/>
      <c r="BG380" s="254"/>
    </row>
    <row r="381" spans="7:59" ht="18.75" x14ac:dyDescent="0.3">
      <c r="G381" s="480"/>
      <c r="H381" s="489"/>
      <c r="I381" s="490"/>
      <c r="J381" s="469">
        <f t="shared" si="36"/>
        <v>0</v>
      </c>
      <c r="K381" s="479"/>
      <c r="L381" s="478"/>
      <c r="M381" s="478"/>
      <c r="BG381" s="254"/>
    </row>
    <row r="382" spans="7:59" ht="18.75" x14ac:dyDescent="0.3">
      <c r="G382" s="480"/>
      <c r="H382" s="491"/>
      <c r="I382" s="490"/>
      <c r="J382" s="469">
        <f t="shared" si="36"/>
        <v>0</v>
      </c>
      <c r="K382" s="479"/>
      <c r="L382" s="478"/>
      <c r="M382" s="478"/>
      <c r="BG382" s="254"/>
    </row>
    <row r="383" spans="7:59" ht="18.75" x14ac:dyDescent="0.3">
      <c r="G383" s="480"/>
      <c r="H383" s="492"/>
      <c r="I383" s="490"/>
      <c r="J383" s="469">
        <f t="shared" si="36"/>
        <v>0</v>
      </c>
      <c r="K383" s="478"/>
      <c r="L383" s="478"/>
      <c r="M383" s="478"/>
      <c r="BG383" s="254"/>
    </row>
    <row r="384" spans="7:59" ht="18.75" x14ac:dyDescent="0.3">
      <c r="G384" s="480"/>
      <c r="H384" s="493"/>
      <c r="I384" s="490"/>
      <c r="J384" s="469">
        <f t="shared" si="36"/>
        <v>0</v>
      </c>
      <c r="K384" s="478"/>
      <c r="L384" s="478"/>
      <c r="M384" s="478"/>
      <c r="BG384" s="254"/>
    </row>
    <row r="385" spans="7:59" ht="18.75" x14ac:dyDescent="0.3">
      <c r="G385" s="480"/>
      <c r="H385" s="493"/>
      <c r="I385" s="490"/>
      <c r="J385" s="469">
        <f t="shared" si="36"/>
        <v>0</v>
      </c>
      <c r="K385" s="478"/>
      <c r="L385" s="478"/>
      <c r="M385" s="478"/>
      <c r="BG385" s="254"/>
    </row>
    <row r="386" spans="7:59" ht="18.75" x14ac:dyDescent="0.3">
      <c r="G386" s="480"/>
      <c r="H386" s="493"/>
      <c r="I386" s="490"/>
      <c r="J386" s="476">
        <f t="shared" si="36"/>
        <v>0</v>
      </c>
      <c r="K386" s="494"/>
      <c r="L386" s="494"/>
      <c r="M386" s="494"/>
      <c r="BG386" s="254"/>
    </row>
    <row r="387" spans="7:59" ht="18.75" x14ac:dyDescent="0.3">
      <c r="G387" s="480"/>
      <c r="H387" s="493"/>
      <c r="I387" s="490"/>
      <c r="J387" s="469">
        <f>K387+L387</f>
        <v>0</v>
      </c>
      <c r="K387" s="478"/>
      <c r="L387" s="478"/>
      <c r="M387" s="478"/>
      <c r="BG387" s="254"/>
    </row>
    <row r="388" spans="7:59" ht="18.75" x14ac:dyDescent="0.3">
      <c r="J388" s="412"/>
      <c r="BG388" s="254"/>
    </row>
    <row r="389" spans="7:59" ht="18.75" x14ac:dyDescent="0.3">
      <c r="J389" s="412"/>
      <c r="BG389" s="254"/>
    </row>
    <row r="390" spans="7:59" ht="18.75" x14ac:dyDescent="0.3">
      <c r="J390" s="412"/>
      <c r="BG390" s="254"/>
    </row>
    <row r="391" spans="7:59" ht="18.75" x14ac:dyDescent="0.3">
      <c r="J391" s="412"/>
      <c r="BG391" s="254"/>
    </row>
    <row r="392" spans="7:59" ht="18.75" x14ac:dyDescent="0.3">
      <c r="J392" s="412"/>
      <c r="BG392" s="254"/>
    </row>
    <row r="393" spans="7:59" ht="18.75" x14ac:dyDescent="0.3">
      <c r="J393" s="412"/>
      <c r="BG393" s="254"/>
    </row>
    <row r="394" spans="7:59" ht="18.75" x14ac:dyDescent="0.3">
      <c r="BG394" s="254"/>
    </row>
    <row r="395" spans="7:59" ht="18.75" x14ac:dyDescent="0.3">
      <c r="BG395" s="254"/>
    </row>
    <row r="396" spans="7:59" ht="18.75" x14ac:dyDescent="0.3">
      <c r="BG396" s="254"/>
    </row>
    <row r="397" spans="7:59" ht="18.75" x14ac:dyDescent="0.3">
      <c r="BG397" s="254"/>
    </row>
    <row r="398" spans="7:59" ht="18.75" x14ac:dyDescent="0.3">
      <c r="BG398" s="254"/>
    </row>
    <row r="399" spans="7:59" ht="18.75" x14ac:dyDescent="0.3">
      <c r="BG399" s="254"/>
    </row>
    <row r="400" spans="7:59" ht="18.75" x14ac:dyDescent="0.3">
      <c r="BG400" s="254"/>
    </row>
    <row r="401" spans="59:59" ht="18.75" x14ac:dyDescent="0.3">
      <c r="BG401" s="254"/>
    </row>
    <row r="402" spans="59:59" ht="18.75" x14ac:dyDescent="0.3">
      <c r="BG402" s="254"/>
    </row>
    <row r="403" spans="59:59" ht="18.75" x14ac:dyDescent="0.3">
      <c r="BG403" s="254"/>
    </row>
    <row r="404" spans="59:59" ht="18.75" x14ac:dyDescent="0.3">
      <c r="BG404" s="254"/>
    </row>
    <row r="405" spans="59:59" ht="18.75" x14ac:dyDescent="0.3">
      <c r="BG405" s="254"/>
    </row>
    <row r="406" spans="59:59" ht="18.75" x14ac:dyDescent="0.3">
      <c r="BG406" s="254"/>
    </row>
    <row r="407" spans="59:59" ht="18.75" x14ac:dyDescent="0.3">
      <c r="BG407" s="254"/>
    </row>
    <row r="408" spans="59:59" ht="18.75" x14ac:dyDescent="0.3">
      <c r="BG408" s="254"/>
    </row>
    <row r="409" spans="59:59" ht="18.75" x14ac:dyDescent="0.3">
      <c r="BG409" s="254"/>
    </row>
    <row r="410" spans="59:59" ht="18.75" x14ac:dyDescent="0.3">
      <c r="BG410" s="254"/>
    </row>
    <row r="411" spans="59:59" ht="18.75" x14ac:dyDescent="0.3">
      <c r="BG411" s="254"/>
    </row>
    <row r="412" spans="59:59" ht="18.75" x14ac:dyDescent="0.3">
      <c r="BG412" s="254"/>
    </row>
    <row r="413" spans="59:59" ht="18.75" x14ac:dyDescent="0.3">
      <c r="BG413" s="254"/>
    </row>
    <row r="414" spans="59:59" ht="18.75" x14ac:dyDescent="0.3">
      <c r="BG414" s="254"/>
    </row>
    <row r="415" spans="59:59" ht="18.75" x14ac:dyDescent="0.3">
      <c r="BG415" s="254"/>
    </row>
    <row r="416" spans="59:59" ht="18.75" x14ac:dyDescent="0.3">
      <c r="BG416" s="254"/>
    </row>
    <row r="417" spans="59:59" ht="18.75" x14ac:dyDescent="0.3">
      <c r="BG417" s="254"/>
    </row>
    <row r="418" spans="59:59" ht="18.75" x14ac:dyDescent="0.3">
      <c r="BG418" s="254"/>
    </row>
    <row r="419" spans="59:59" ht="18.75" x14ac:dyDescent="0.3">
      <c r="BG419" s="254"/>
    </row>
    <row r="420" spans="59:59" ht="18.75" x14ac:dyDescent="0.3">
      <c r="BG420" s="254"/>
    </row>
    <row r="421" spans="59:59" ht="18.75" x14ac:dyDescent="0.3">
      <c r="BG421" s="254"/>
    </row>
    <row r="422" spans="59:59" ht="18.75" x14ac:dyDescent="0.3">
      <c r="BG422" s="254"/>
    </row>
    <row r="423" spans="59:59" ht="18.75" x14ac:dyDescent="0.3">
      <c r="BG423" s="254"/>
    </row>
    <row r="424" spans="59:59" ht="18.75" x14ac:dyDescent="0.3">
      <c r="BG424" s="254"/>
    </row>
    <row r="425" spans="59:59" ht="18.75" x14ac:dyDescent="0.3">
      <c r="BG425" s="254"/>
    </row>
    <row r="426" spans="59:59" ht="18.75" x14ac:dyDescent="0.3">
      <c r="BG426" s="254"/>
    </row>
    <row r="427" spans="59:59" ht="18.75" x14ac:dyDescent="0.3">
      <c r="BG427" s="254"/>
    </row>
    <row r="428" spans="59:59" ht="18.75" x14ac:dyDescent="0.3">
      <c r="BG428" s="254"/>
    </row>
    <row r="429" spans="59:59" ht="18.75" x14ac:dyDescent="0.3">
      <c r="BG429" s="254"/>
    </row>
    <row r="430" spans="59:59" ht="18.75" x14ac:dyDescent="0.3">
      <c r="BG430" s="254"/>
    </row>
    <row r="431" spans="59:59" ht="18.75" x14ac:dyDescent="0.3">
      <c r="BG431" s="254"/>
    </row>
    <row r="432" spans="59:59" ht="18.75" x14ac:dyDescent="0.3">
      <c r="BG432" s="254"/>
    </row>
    <row r="433" spans="59:59" ht="18.75" x14ac:dyDescent="0.3">
      <c r="BG433" s="254"/>
    </row>
    <row r="434" spans="59:59" ht="18.75" x14ac:dyDescent="0.3">
      <c r="BG434" s="254"/>
    </row>
    <row r="435" spans="59:59" ht="18.75" x14ac:dyDescent="0.3">
      <c r="BG435" s="254"/>
    </row>
    <row r="436" spans="59:59" ht="18.75" x14ac:dyDescent="0.3">
      <c r="BG436" s="254"/>
    </row>
    <row r="437" spans="59:59" ht="18.75" x14ac:dyDescent="0.3">
      <c r="BG437" s="254"/>
    </row>
    <row r="438" spans="59:59" ht="18.75" x14ac:dyDescent="0.3">
      <c r="BG438" s="254"/>
    </row>
    <row r="439" spans="59:59" ht="18.75" x14ac:dyDescent="0.3">
      <c r="BG439" s="254"/>
    </row>
    <row r="440" spans="59:59" ht="18.75" x14ac:dyDescent="0.3">
      <c r="BG440" s="254"/>
    </row>
    <row r="441" spans="59:59" ht="18.75" x14ac:dyDescent="0.3">
      <c r="BG441" s="254"/>
    </row>
    <row r="442" spans="59:59" ht="18.75" x14ac:dyDescent="0.3">
      <c r="BG442" s="254"/>
    </row>
    <row r="443" spans="59:59" ht="18.75" x14ac:dyDescent="0.3">
      <c r="BG443" s="254"/>
    </row>
    <row r="444" spans="59:59" ht="18.75" x14ac:dyDescent="0.3">
      <c r="BG444" s="254"/>
    </row>
    <row r="445" spans="59:59" ht="18.75" x14ac:dyDescent="0.3">
      <c r="BG445" s="254"/>
    </row>
    <row r="446" spans="59:59" ht="18.75" x14ac:dyDescent="0.3">
      <c r="BG446" s="254"/>
    </row>
    <row r="447" spans="59:59" ht="18.75" x14ac:dyDescent="0.3">
      <c r="BG447" s="254"/>
    </row>
    <row r="448" spans="59:59" ht="18.75" x14ac:dyDescent="0.3">
      <c r="BG448" s="254"/>
    </row>
    <row r="449" spans="59:59" ht="18.75" x14ac:dyDescent="0.3">
      <c r="BG449" s="254"/>
    </row>
    <row r="450" spans="59:59" ht="18.75" x14ac:dyDescent="0.3">
      <c r="BG450" s="254"/>
    </row>
    <row r="451" spans="59:59" ht="18.75" x14ac:dyDescent="0.3">
      <c r="BG451" s="254"/>
    </row>
    <row r="452" spans="59:59" ht="18.75" x14ac:dyDescent="0.3">
      <c r="BG452" s="254"/>
    </row>
    <row r="453" spans="59:59" ht="18.75" x14ac:dyDescent="0.3">
      <c r="BG453" s="254"/>
    </row>
    <row r="454" spans="59:59" ht="18.75" x14ac:dyDescent="0.3">
      <c r="BG454" s="254"/>
    </row>
    <row r="455" spans="59:59" ht="18.75" x14ac:dyDescent="0.3">
      <c r="BG455" s="254"/>
    </row>
    <row r="456" spans="59:59" ht="18.75" x14ac:dyDescent="0.3">
      <c r="BG456" s="254"/>
    </row>
    <row r="457" spans="59:59" ht="18.75" x14ac:dyDescent="0.3">
      <c r="BG457" s="254"/>
    </row>
    <row r="458" spans="59:59" ht="18.75" x14ac:dyDescent="0.3">
      <c r="BG458" s="254"/>
    </row>
    <row r="459" spans="59:59" ht="18.75" x14ac:dyDescent="0.3">
      <c r="BG459" s="254"/>
    </row>
    <row r="460" spans="59:59" ht="18.75" x14ac:dyDescent="0.3">
      <c r="BG460" s="254"/>
    </row>
    <row r="461" spans="59:59" ht="18.75" x14ac:dyDescent="0.3">
      <c r="BG461" s="254"/>
    </row>
    <row r="462" spans="59:59" ht="18.75" x14ac:dyDescent="0.3">
      <c r="BG462" s="254"/>
    </row>
    <row r="463" spans="59:59" ht="18.75" x14ac:dyDescent="0.3">
      <c r="BG463" s="254"/>
    </row>
    <row r="464" spans="59:59" ht="18.75" x14ac:dyDescent="0.3">
      <c r="BG464" s="254"/>
    </row>
    <row r="465" spans="59:59" ht="18.75" x14ac:dyDescent="0.3">
      <c r="BG465" s="254"/>
    </row>
    <row r="466" spans="59:59" ht="18.75" x14ac:dyDescent="0.3">
      <c r="BG466" s="254"/>
    </row>
    <row r="467" spans="59:59" ht="18.75" x14ac:dyDescent="0.3">
      <c r="BG467" s="254"/>
    </row>
    <row r="468" spans="59:59" ht="18.75" x14ac:dyDescent="0.3">
      <c r="BG468" s="254"/>
    </row>
    <row r="469" spans="59:59" ht="18.75" x14ac:dyDescent="0.3">
      <c r="BG469" s="254"/>
    </row>
    <row r="470" spans="59:59" ht="18.75" x14ac:dyDescent="0.3">
      <c r="BG470" s="254"/>
    </row>
    <row r="471" spans="59:59" ht="18.75" x14ac:dyDescent="0.3">
      <c r="BG471" s="254"/>
    </row>
    <row r="472" spans="59:59" ht="18.75" x14ac:dyDescent="0.3">
      <c r="BG472" s="254"/>
    </row>
    <row r="473" spans="59:59" ht="18.75" x14ac:dyDescent="0.3">
      <c r="BG473" s="254"/>
    </row>
    <row r="474" spans="59:59" ht="18.75" x14ac:dyDescent="0.3">
      <c r="BG474" s="254"/>
    </row>
    <row r="475" spans="59:59" ht="18.75" x14ac:dyDescent="0.3">
      <c r="BG475" s="254"/>
    </row>
    <row r="476" spans="59:59" ht="18.75" x14ac:dyDescent="0.3">
      <c r="BG476" s="254"/>
    </row>
    <row r="477" spans="59:59" ht="18.75" x14ac:dyDescent="0.3">
      <c r="BG477" s="254"/>
    </row>
    <row r="478" spans="59:59" ht="18.75" x14ac:dyDescent="0.3">
      <c r="BG478" s="254"/>
    </row>
    <row r="479" spans="59:59" ht="18.75" x14ac:dyDescent="0.3">
      <c r="BG479" s="254"/>
    </row>
    <row r="480" spans="59:59" ht="18.75" x14ac:dyDescent="0.3">
      <c r="BG480" s="254"/>
    </row>
    <row r="481" spans="59:59" ht="18.75" x14ac:dyDescent="0.3">
      <c r="BG481" s="254"/>
    </row>
    <row r="482" spans="59:59" ht="18.75" x14ac:dyDescent="0.3">
      <c r="BG482" s="254"/>
    </row>
    <row r="483" spans="59:59" ht="18.75" x14ac:dyDescent="0.3">
      <c r="BG483" s="254"/>
    </row>
    <row r="484" spans="59:59" ht="18.75" x14ac:dyDescent="0.3">
      <c r="BG484" s="254"/>
    </row>
    <row r="485" spans="59:59" ht="18.75" x14ac:dyDescent="0.3">
      <c r="BG485" s="254"/>
    </row>
    <row r="486" spans="59:59" ht="18.75" x14ac:dyDescent="0.3">
      <c r="BG486" s="254"/>
    </row>
    <row r="487" spans="59:59" ht="18.75" x14ac:dyDescent="0.3">
      <c r="BG487" s="254"/>
    </row>
    <row r="488" spans="59:59" ht="18.75" x14ac:dyDescent="0.3">
      <c r="BG488" s="254"/>
    </row>
    <row r="489" spans="59:59" ht="18.75" x14ac:dyDescent="0.3">
      <c r="BG489" s="254"/>
    </row>
    <row r="490" spans="59:59" ht="18.75" x14ac:dyDescent="0.3">
      <c r="BG490" s="254"/>
    </row>
    <row r="491" spans="59:59" ht="18.75" x14ac:dyDescent="0.3">
      <c r="BG491" s="254"/>
    </row>
    <row r="492" spans="59:59" ht="18.75" x14ac:dyDescent="0.3">
      <c r="BG492" s="254"/>
    </row>
    <row r="493" spans="59:59" ht="18.75" x14ac:dyDescent="0.3">
      <c r="BG493" s="254"/>
    </row>
    <row r="494" spans="59:59" ht="18.75" x14ac:dyDescent="0.3">
      <c r="BG494" s="254"/>
    </row>
    <row r="495" spans="59:59" ht="18.75" x14ac:dyDescent="0.3">
      <c r="BG495" s="254"/>
    </row>
    <row r="496" spans="59:59" ht="18.75" x14ac:dyDescent="0.3">
      <c r="BG496" s="254"/>
    </row>
    <row r="497" spans="59:59" ht="18.75" x14ac:dyDescent="0.3">
      <c r="BG497" s="254"/>
    </row>
    <row r="498" spans="59:59" ht="18.75" x14ac:dyDescent="0.3">
      <c r="BG498" s="254"/>
    </row>
    <row r="499" spans="59:59" ht="18.75" x14ac:dyDescent="0.3">
      <c r="BG499" s="254"/>
    </row>
    <row r="500" spans="59:59" ht="18.75" x14ac:dyDescent="0.3">
      <c r="BG500" s="254"/>
    </row>
    <row r="501" spans="59:59" ht="18.75" x14ac:dyDescent="0.3">
      <c r="BG501" s="254"/>
    </row>
    <row r="502" spans="59:59" ht="18.75" x14ac:dyDescent="0.3">
      <c r="BG502" s="254"/>
    </row>
    <row r="503" spans="59:59" ht="18.75" x14ac:dyDescent="0.3">
      <c r="BG503" s="254"/>
    </row>
    <row r="504" spans="59:59" ht="18.75" x14ac:dyDescent="0.3">
      <c r="BG504" s="254"/>
    </row>
    <row r="505" spans="59:59" ht="18.75" x14ac:dyDescent="0.3">
      <c r="BG505" s="254"/>
    </row>
    <row r="506" spans="59:59" ht="18.75" x14ac:dyDescent="0.3">
      <c r="BG506" s="254"/>
    </row>
    <row r="507" spans="59:59" ht="18.75" x14ac:dyDescent="0.3">
      <c r="BG507" s="254"/>
    </row>
    <row r="508" spans="59:59" ht="18.75" x14ac:dyDescent="0.3">
      <c r="BG508" s="254"/>
    </row>
    <row r="509" spans="59:59" ht="18.75" x14ac:dyDescent="0.3">
      <c r="BG509" s="254"/>
    </row>
    <row r="510" spans="59:59" ht="18.75" x14ac:dyDescent="0.3">
      <c r="BG510" s="254"/>
    </row>
    <row r="511" spans="59:59" ht="18.75" x14ac:dyDescent="0.3">
      <c r="BG511" s="254"/>
    </row>
    <row r="512" spans="59:59" ht="18.75" x14ac:dyDescent="0.3">
      <c r="BG512" s="254"/>
    </row>
    <row r="513" spans="59:59" ht="18.75" x14ac:dyDescent="0.3">
      <c r="BG513" s="254"/>
    </row>
    <row r="514" spans="59:59" ht="18.75" x14ac:dyDescent="0.3">
      <c r="BG514" s="254"/>
    </row>
    <row r="515" spans="59:59" ht="18.75" x14ac:dyDescent="0.3">
      <c r="BG515" s="254"/>
    </row>
    <row r="516" spans="59:59" ht="18.75" x14ac:dyDescent="0.3">
      <c r="BG516" s="254"/>
    </row>
    <row r="517" spans="59:59" ht="18.75" x14ac:dyDescent="0.3">
      <c r="BG517" s="254"/>
    </row>
    <row r="518" spans="59:59" ht="18.75" x14ac:dyDescent="0.3">
      <c r="BG518" s="254"/>
    </row>
    <row r="519" spans="59:59" ht="18.75" x14ac:dyDescent="0.3">
      <c r="BG519" s="254"/>
    </row>
    <row r="520" spans="59:59" ht="18.75" x14ac:dyDescent="0.3">
      <c r="BG520" s="254"/>
    </row>
    <row r="521" spans="59:59" ht="18.75" x14ac:dyDescent="0.3">
      <c r="BG521" s="254"/>
    </row>
    <row r="522" spans="59:59" ht="18.75" x14ac:dyDescent="0.3">
      <c r="BG522" s="254"/>
    </row>
    <row r="523" spans="59:59" ht="18.75" x14ac:dyDescent="0.3">
      <c r="BG523" s="254"/>
    </row>
    <row r="524" spans="59:59" ht="18.75" x14ac:dyDescent="0.3">
      <c r="BG524" s="254"/>
    </row>
    <row r="525" spans="59:59" ht="18.75" x14ac:dyDescent="0.3">
      <c r="BG525" s="254"/>
    </row>
    <row r="526" spans="59:59" ht="18.75" x14ac:dyDescent="0.3">
      <c r="BG526" s="254"/>
    </row>
    <row r="527" spans="59:59" ht="18.75" x14ac:dyDescent="0.3">
      <c r="BG527" s="254"/>
    </row>
    <row r="528" spans="59:59" ht="18.75" x14ac:dyDescent="0.3">
      <c r="BG528" s="254"/>
    </row>
    <row r="529" spans="59:59" ht="18.75" x14ac:dyDescent="0.3">
      <c r="BG529" s="254"/>
    </row>
    <row r="530" spans="59:59" ht="18.75" x14ac:dyDescent="0.3">
      <c r="BG530" s="254"/>
    </row>
    <row r="531" spans="59:59" ht="18.75" x14ac:dyDescent="0.3">
      <c r="BG531" s="254"/>
    </row>
    <row r="532" spans="59:59" ht="18.75" x14ac:dyDescent="0.3">
      <c r="BG532" s="254"/>
    </row>
    <row r="533" spans="59:59" ht="18.75" x14ac:dyDescent="0.3">
      <c r="BG533" s="254"/>
    </row>
  </sheetData>
  <autoFilter ref="A6:AL303">
    <filterColumn colId="0">
      <customFilters>
        <customFilter operator="notEqual" val=" "/>
      </customFilters>
    </filterColumn>
  </autoFilter>
  <mergeCells count="20">
    <mergeCell ref="G359:G361"/>
    <mergeCell ref="H359:H361"/>
    <mergeCell ref="I362:I366"/>
    <mergeCell ref="I379:I380"/>
    <mergeCell ref="I335:I336"/>
    <mergeCell ref="N5:AK5"/>
    <mergeCell ref="D295:G295"/>
    <mergeCell ref="I5:I6"/>
    <mergeCell ref="J5:J6"/>
    <mergeCell ref="L5:M5"/>
    <mergeCell ref="I318:I322"/>
    <mergeCell ref="H315:H317"/>
    <mergeCell ref="G315:G317"/>
    <mergeCell ref="D1:M1"/>
    <mergeCell ref="F5:F6"/>
    <mergeCell ref="H5:H6"/>
    <mergeCell ref="K5:K6"/>
    <mergeCell ref="D5:D6"/>
    <mergeCell ref="G5:G6"/>
    <mergeCell ref="E5:E6"/>
  </mergeCells>
  <phoneticPr fontId="2" type="noConversion"/>
  <pageMargins left="1.1811023622047245" right="0.39370078740157483" top="1.3779527559055118" bottom="0.78740157480314965" header="0.78740157480314965" footer="0.51181102362204722"/>
  <pageSetup paperSize="9" scale="31" fitToHeight="4" orientation="portrait" blackAndWhite="1" r:id="rId1"/>
  <headerFooter differentFirst="1">
    <oddHeader>&amp;C&amp;"Times New Roman,обычный"&amp;14&amp;P&amp;R&amp;"Times New Roman,обычный"&amp;14Продовження додатку 6</oddHeader>
    <oddFooter>&amp;R&amp;P</oddFooter>
    <firstHeader>&amp;R&amp;"Times New Roman,обычный"&amp;14Додаток 6
до рішення міської ради
від __________________ №_____</firstHeader>
  </headerFooter>
  <rowBreaks count="2" manualBreakCount="2">
    <brk id="62" min="3" max="12" man="1"/>
    <brk id="147" min="3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GorFo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2021-04-21T12:42:00Z</cp:lastPrinted>
  <dcterms:created xsi:type="dcterms:W3CDTF">2008-06-19T08:03:43Z</dcterms:created>
  <dcterms:modified xsi:type="dcterms:W3CDTF">2021-04-22T06:09:31Z</dcterms:modified>
</cp:coreProperties>
</file>